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<sst xmlns="http://schemas.openxmlformats.org/spreadsheetml/2006/main" uniqueCount="368">
  <si>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</si>
  <si>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</si>
  <si>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</si>
  <si>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</si>
  <si>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</si>
  <si>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</si>
  <si>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</si>
  <si>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</si>
  <si>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</si>
  <si>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</si>
  <si>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</si>
  <si>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</si>
  <si>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</si>
  <si>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</si>
  <si>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</si>
  <si>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</si>
  <si>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</si>
  <si>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</si>
  <si>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</si>
  <si>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</si>
  <si>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</si>
  <si>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</si>
  <si>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</si>
  <si>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</si>
  <si>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</si>
  <si>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</si>
  <si>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</si>
  <si>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</si>
  <si>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</si>
  <si>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</si>
  <si>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</si>
  <si>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</si>
  <si>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</si>
  <si>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</si>
  <si>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</si>
  <si>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</si>
  <si>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</si>
  <si>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</si>
  <si>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</si>
  <si>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</si>
  <si>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</si>
  <si>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</si>
  <si>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</si>
  <si>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</si>
  <si>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</si>
  <si>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</si>
  <si>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</si>
  <si>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</si>
  <si>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</si>
  <si>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</si>
  <si>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</si>
  <si>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</si>
  <si>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</si>
  <si>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</si>
  <si>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</si>
  <si>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</si>
  <si>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</si>
  <si>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</si>
  <si>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</si>
  <si>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</si>
  <si>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</si>
  <si>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</si>
  <si>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</si>
  <si>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</si>
  <si>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</si>
  <si>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</si>
  <si>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</si>
  <si>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</si>
  <si>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</si>
  <si>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</si>
  <si>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</si>
  <si>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</si>
  <si>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</si>
  <si>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</si>
  <si>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</si>
  <si>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</si>
  <si>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</si>
  <si>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</si>
  <si>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</si>
  <si>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</si>
  <si>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</si>
  <si>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</si>
  <si>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</si>
  <si>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</si>
  <si>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</si>
  <si>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</si>
  <si>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</si>
  <si>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</si>
  <si>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</si>
  <si>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</si>
  <si>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Home recycled</t>
  </si>
  <si>
    <t>Yes both manure and inorganic</t>
  </si>
  <si>
    <t>Yes</t>
  </si>
  <si>
    <t>No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</si>
  <si>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</si>
  <si>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</si>
  <si>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</si>
  <si>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</si>
  <si>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</si>
  <si>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</si>
  <si>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</si>
  <si>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</si>
  <si>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</si>
  <si>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</si>
  <si>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</si>
  <si>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</si>
  <si>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</si>
  <si>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</si>
  <si>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</si>
  <si>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</si>
  <si>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</si>
  <si>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</si>
  <si>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</si>
  <si>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</si>
  <si>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</si>
  <si>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</si>
  <si>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</si>
  <si>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</si>
  <si>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</si>
  <si>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</si>
  <si>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</si>
  <si>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</si>
  <si>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</si>
  <si>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</si>
  <si>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</si>
  <si>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</si>
  <si>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</si>
  <si>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</si>
  <si>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</si>
  <si>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</si>
  <si>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</si>
  <si>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</si>
  <si>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</si>
  <si>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</si>
  <si>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</si>
  <si>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</si>
  <si>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</si>
  <si>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</si>
  <si>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</si>
  <si>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</si>
  <si>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7/9/2017</t>
  </si>
  <si>
    <t>musoni</t>
  </si>
  <si>
    <t>100% trp</t>
  </si>
  <si>
    <t>Mpesa &amp; bank cash flows (from past statements)</t>
  </si>
  <si>
    <t>Cash inflows</t>
  </si>
  <si>
    <t>Cash outflows</t>
  </si>
  <si>
    <t>July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</si>
  <si>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</si>
  <si>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</si>
  <si>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</si>
  <si>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</si>
  <si>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</si>
  <si>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</si>
  <si>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</si>
  <si>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2018/1/24</t>
  </si>
  <si>
    <t>Loan terms</t>
  </si>
  <si>
    <t>Expected disbursement date</t>
  </si>
  <si>
    <t>Expected first repayment date</t>
  </si>
  <si>
    <t>2018/2/24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</si>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</sst>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1.225989626892997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0.03636363636363636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14441.11111111111</v>
      </c>
    </row>
    <row r="17" spans="1:7">
      <c r="B17" s="1" t="s">
        <v>11</v>
      </c>
      <c r="C17" s="36">
        <f>SUM(Output!B6:M6)</f>
        <v>21528.27950102619</v>
      </c>
    </row>
    <row r="18" spans="1:7">
      <c r="B18" s="1" t="s">
        <v>12</v>
      </c>
      <c r="C18" s="36">
        <f>MIN(Output!B6:M6)</f>
        <v>-30397.44409926336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72426.75671239963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19968</v>
      </c>
    </row>
    <row r="25" spans="1:7">
      <c r="B25" s="1" t="s">
        <v>18</v>
      </c>
      <c r="C25" s="36">
        <f>MAX(Inputs!A56:A60)</f>
        <v>19968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-7367.444099263361</v>
      </c>
      <c r="C6" s="51">
        <f>C30-C88</f>
        <v>24120.2494955459</v>
      </c>
      <c r="D6" s="51">
        <f>D30-D88</f>
        <v>72426.75671239963</v>
      </c>
      <c r="E6" s="51">
        <f>E30-E88</f>
        <v>-1196.01552783479</v>
      </c>
      <c r="F6" s="51">
        <f>F30-F88</f>
        <v>-1196.01552783479</v>
      </c>
      <c r="G6" s="51">
        <f>G30-G88</f>
        <v>-1196.01552783479</v>
      </c>
      <c r="H6" s="51">
        <f>H30-H88</f>
        <v>-1196.01552783479</v>
      </c>
      <c r="I6" s="51">
        <f>I30-I88</f>
        <v>-30397.44409926336</v>
      </c>
      <c r="J6" s="51">
        <f>J30-J88</f>
        <v>-7367.444099263361</v>
      </c>
      <c r="K6" s="51">
        <f>K30-K88</f>
        <v>-7367.444099263361</v>
      </c>
      <c r="L6" s="51">
        <f>L30-L88</f>
        <v>-10367.44409926336</v>
      </c>
      <c r="M6" s="51">
        <f>M30-M88</f>
        <v>-7367.444099263361</v>
      </c>
      <c r="N6" s="51">
        <f>N30-N88</f>
        <v>-7367.444099263361</v>
      </c>
      <c r="O6" s="51">
        <f>O30-O88</f>
        <v>24120.2494955459</v>
      </c>
      <c r="P6" s="51">
        <f>P30-P88</f>
        <v>72426.75671239963</v>
      </c>
      <c r="Q6" s="51">
        <f>Q30-Q88</f>
        <v>-1196.01552783479</v>
      </c>
      <c r="R6" s="51">
        <f>R30-R88</f>
        <v>-1196.01552783479</v>
      </c>
      <c r="S6" s="51">
        <f>S30-S88</f>
        <v>-1196.01552783479</v>
      </c>
      <c r="T6" s="51">
        <f>T30-T88</f>
        <v>-1196.01552783479</v>
      </c>
      <c r="U6" s="51">
        <f>U30-U88</f>
        <v>-30397.44409926336</v>
      </c>
      <c r="V6" s="51">
        <f>V30-V88</f>
        <v>-7367.444099263361</v>
      </c>
      <c r="W6" s="51">
        <f>W30-W88</f>
        <v>-7367.444099263361</v>
      </c>
      <c r="X6" s="51">
        <f>X30-X88</f>
        <v>-10367.44409926336</v>
      </c>
      <c r="Y6" s="51">
        <f>Y30-Y88</f>
        <v>-7367.444099263361</v>
      </c>
      <c r="Z6" s="51">
        <f>SUMIF($B$13:$Y$13,"Yes",B6:Y6)</f>
        <v>14160.83540176283</v>
      </c>
      <c r="AA6" s="51">
        <f>AA30-AA88</f>
        <v>21528.27950102621</v>
      </c>
      <c r="AB6" s="51">
        <f>AB30-AB88</f>
        <v>43056.55900205241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412653</v>
      </c>
      <c r="I7" s="80">
        <f>IF(ISERROR(VLOOKUP(MONTH(I5),Inputs!$D$66:$D$71,1,0)),"",INDEX(Inputs!$B$66:$B$71,MATCH(MONTH(Output!I5),Inputs!$D$66:$D$71,0))-INDEX(Inputs!$C$66:$C$71,MATCH(MONTH(Output!I5),Inputs!$D$66:$D$71,0)))</f>
        <v>365703</v>
      </c>
      <c r="J7" s="80">
        <f>IF(ISERROR(VLOOKUP(MONTH(J5),Inputs!$D$66:$D$71,1,0)),"",INDEX(Inputs!$B$66:$B$71,MATCH(MONTH(Output!J5),Inputs!$D$66:$D$71,0))-INDEX(Inputs!$C$66:$C$71,MATCH(MONTH(Output!J5),Inputs!$D$66:$D$71,0)))</f>
        <v>10333</v>
      </c>
      <c r="K7" s="80">
        <f>IF(ISERROR(VLOOKUP(MONTH(K5),Inputs!$D$66:$D$71,1,0)),"",INDEX(Inputs!$B$66:$B$71,MATCH(MONTH(Output!K5),Inputs!$D$66:$D$71,0))-INDEX(Inputs!$C$66:$C$71,MATCH(MONTH(Output!K5),Inputs!$D$66:$D$71,0)))</f>
        <v>1020858</v>
      </c>
      <c r="L7" s="80">
        <f>IF(ISERROR(VLOOKUP(MONTH(L5),Inputs!$D$66:$D$71,1,0)),"",INDEX(Inputs!$B$66:$B$71,MATCH(MONTH(Output!L5),Inputs!$D$66:$D$71,0))-INDEX(Inputs!$C$66:$C$71,MATCH(MONTH(Output!L5),Inputs!$D$66:$D$71,0)))</f>
        <v>-358607</v>
      </c>
      <c r="M7" s="80">
        <f>IF(ISERROR(VLOOKUP(MONTH(M5),Inputs!$D$66:$D$71,1,0)),"",INDEX(Inputs!$B$66:$B$71,MATCH(MONTH(Output!M5),Inputs!$D$66:$D$71,0))-INDEX(Inputs!$C$66:$C$71,MATCH(MONTH(Output!M5),Inputs!$D$66:$D$71,0)))</f>
        <v>89403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412653</v>
      </c>
      <c r="U7" s="80">
        <f>IF(ISERROR(VLOOKUP(MONTH(U5),Inputs!$D$66:$D$71,1,0)),"",INDEX(Inputs!$B$66:$B$71,MATCH(MONTH(Output!U5),Inputs!$D$66:$D$71,0))-INDEX(Inputs!$C$66:$C$71,MATCH(MONTH(Output!U5),Inputs!$D$66:$D$71,0)))</f>
        <v>365703</v>
      </c>
      <c r="V7" s="80">
        <f>IF(ISERROR(VLOOKUP(MONTH(V5),Inputs!$D$66:$D$71,1,0)),"",INDEX(Inputs!$B$66:$B$71,MATCH(MONTH(Output!V5),Inputs!$D$66:$D$71,0))-INDEX(Inputs!$C$66:$C$71,MATCH(MONTH(Output!V5),Inputs!$D$66:$D$71,0)))</f>
        <v>10333</v>
      </c>
      <c r="W7" s="80">
        <f>IF(ISERROR(VLOOKUP(MONTH(W5),Inputs!$D$66:$D$71,1,0)),"",INDEX(Inputs!$B$66:$B$71,MATCH(MONTH(Output!W5),Inputs!$D$66:$D$71,0))-INDEX(Inputs!$C$66:$C$71,MATCH(MONTH(Output!W5),Inputs!$D$66:$D$71,0)))</f>
        <v>1020858</v>
      </c>
      <c r="X7" s="80">
        <f>IF(ISERROR(VLOOKUP(MONTH(X5),Inputs!$D$66:$D$71,1,0)),"",INDEX(Inputs!$B$66:$B$71,MATCH(MONTH(Output!X5),Inputs!$D$66:$D$71,0))-INDEX(Inputs!$C$66:$C$71,MATCH(MONTH(Output!X5),Inputs!$D$66:$D$71,0)))</f>
        <v>-358607</v>
      </c>
      <c r="Y7" s="80">
        <f>IF(ISERROR(VLOOKUP(MONTH(Y5),Inputs!$D$66:$D$71,1,0)),"",INDEX(Inputs!$B$66:$B$71,MATCH(MONTH(Output!Y5),Inputs!$D$66:$D$71,0))-INDEX(Inputs!$C$66:$C$71,MATCH(MONTH(Output!Y5),Inputs!$D$66:$D$71,0)))</f>
        <v>89403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3330</v>
      </c>
      <c r="D10" s="37">
        <f>SUMPRODUCT((Calculations!$D$33:$D$84=Output!D5)+0,Calculations!$C$33:$C$84)</f>
        <v>3330</v>
      </c>
      <c r="E10" s="37">
        <f>SUMPRODUCT((Calculations!$D$33:$D$84=Output!E5)+0,Calculations!$C$33:$C$84)</f>
        <v>3330</v>
      </c>
      <c r="F10" s="37">
        <f>SUMPRODUCT((Calculations!$D$33:$D$84=Output!F5)+0,Calculations!$C$33:$C$84)</f>
        <v>14441.11111111111</v>
      </c>
      <c r="G10" s="37">
        <f>SUMPRODUCT((Calculations!$D$33:$D$84=Output!G5)+0,Calculations!$C$33:$C$84)</f>
        <v>14441.11111111111</v>
      </c>
      <c r="H10" s="37">
        <f>SUMPRODUCT((Calculations!$D$33:$D$84=Output!H5)+0,Calculations!$C$33:$C$84)</f>
        <v>14441.11111111111</v>
      </c>
      <c r="I10" s="37">
        <f>SUMPRODUCT((Calculations!$D$33:$D$84=Output!I5)+0,Calculations!$C$33:$C$84)</f>
        <v>14441.11111111111</v>
      </c>
      <c r="J10" s="37">
        <f>SUMPRODUCT((Calculations!$D$33:$D$84=Output!J5)+0,Calculations!$C$33:$C$84)</f>
        <v>14441.11111111111</v>
      </c>
      <c r="K10" s="37">
        <f>SUMPRODUCT((Calculations!$D$33:$D$84=Output!K5)+0,Calculations!$C$33:$C$84)</f>
        <v>14441.11111111111</v>
      </c>
      <c r="L10" s="37">
        <f>SUMPRODUCT((Calculations!$D$33:$D$84=Output!L5)+0,Calculations!$C$33:$C$84)</f>
        <v>14441.11111111111</v>
      </c>
      <c r="M10" s="37">
        <f>SUMPRODUCT((Calculations!$D$33:$D$84=Output!M5)+0,Calculations!$C$33:$C$84)</f>
        <v>14441.11111111111</v>
      </c>
      <c r="N10" s="37">
        <f>SUMPRODUCT((Calculations!$D$33:$D$84=Output!N5)+0,Calculations!$C$33:$C$84)</f>
        <v>14441.11111111111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139960</v>
      </c>
      <c r="AA10" s="37">
        <f>SUM(B10:M10)</f>
        <v>125518.8888888889</v>
      </c>
      <c r="AB10" s="37">
        <f>SUM(B10:Y10)</f>
        <v>139960</v>
      </c>
    </row>
    <row r="11" spans="1:30" customHeight="1" ht="15.75">
      <c r="A11" s="43" t="s">
        <v>31</v>
      </c>
      <c r="B11" s="80">
        <f>B6+B9-B10</f>
        <v>92632.55590073664</v>
      </c>
      <c r="C11" s="80">
        <f>C6+C9-C10</f>
        <v>20790.2494955459</v>
      </c>
      <c r="D11" s="80">
        <f>D6+D9-D10</f>
        <v>69096.75671239963</v>
      </c>
      <c r="E11" s="80">
        <f>E6+E9-E10</f>
        <v>-4526.015527834789</v>
      </c>
      <c r="F11" s="80">
        <f>F6+F9-F10</f>
        <v>-15637.1266389459</v>
      </c>
      <c r="G11" s="80">
        <f>G6+G9-G10</f>
        <v>-15637.1266389459</v>
      </c>
      <c r="H11" s="80">
        <f>H6+H9-H10</f>
        <v>-15637.1266389459</v>
      </c>
      <c r="I11" s="80">
        <f>I6+I9-I10</f>
        <v>-44838.55521037447</v>
      </c>
      <c r="J11" s="80">
        <f>J6+J9-J10</f>
        <v>-21808.55521037447</v>
      </c>
      <c r="K11" s="80">
        <f>K6+K9-K10</f>
        <v>-21808.55521037447</v>
      </c>
      <c r="L11" s="80">
        <f>L6+L9-L10</f>
        <v>-24808.55521037447</v>
      </c>
      <c r="M11" s="80">
        <f>M6+M9-M10</f>
        <v>-21808.55521037447</v>
      </c>
      <c r="N11" s="80">
        <f>N6+N9-N10</f>
        <v>-21808.55521037447</v>
      </c>
      <c r="O11" s="80">
        <f>O6+O9-O10</f>
        <v>24120.2494955459</v>
      </c>
      <c r="P11" s="80">
        <f>P6+P9-P10</f>
        <v>72426.75671239963</v>
      </c>
      <c r="Q11" s="80">
        <f>Q6+Q9-Q10</f>
        <v>-1196.01552783479</v>
      </c>
      <c r="R11" s="80">
        <f>R6+R9-R10</f>
        <v>-1196.01552783479</v>
      </c>
      <c r="S11" s="80">
        <f>S6+S9-S10</f>
        <v>-1196.01552783479</v>
      </c>
      <c r="T11" s="80">
        <f>T6+T9-T10</f>
        <v>-1196.01552783479</v>
      </c>
      <c r="U11" s="80">
        <f>U6+U9-U10</f>
        <v>-30397.44409926336</v>
      </c>
      <c r="V11" s="80">
        <f>V6+V9-V10</f>
        <v>-7367.444099263361</v>
      </c>
      <c r="W11" s="80">
        <f>W6+W9-W10</f>
        <v>-7367.444099263361</v>
      </c>
      <c r="X11" s="80">
        <f>X6+X9-X10</f>
        <v>-10367.44409926336</v>
      </c>
      <c r="Y11" s="80">
        <f>Y6+Y9-Y10</f>
        <v>-7367.444099263361</v>
      </c>
      <c r="Z11" s="85">
        <f>SUMIF($B$13:$Y$13,"Yes",B11:Y11)</f>
        <v>-25799.16459823711</v>
      </c>
      <c r="AA11" s="80">
        <f>SUM(B11:M11)</f>
        <v>-3990.609387862642</v>
      </c>
      <c r="AB11" s="46">
        <f>SUM(B11:Y11)</f>
        <v>3096.559002052425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0.02852179858717149</v>
      </c>
      <c r="D12" s="82">
        <f>IF(D13="Yes",IF(SUM($B$10:D10)/(SUM($B$6:D6)+SUM($B$9:D9))&lt;0,999.99,SUM($B$10:D10)/(SUM($B$6:D6)+SUM($B$9:D9))),"")</f>
        <v>0.03520464856649727</v>
      </c>
      <c r="E12" s="82">
        <f>IF(E13="Yes",IF(SUM($B$10:E10)/(SUM($B$6:E6)+SUM($B$9:E9))&lt;0,999.99,SUM($B$10:E10)/(SUM($B$6:E6)+SUM($B$9:E9))),"")</f>
        <v>0.05314294884687438</v>
      </c>
      <c r="F12" s="82">
        <f>IF(F13="Yes",IF(SUM($B$10:F10)/(SUM($B$6:F6)+SUM($B$9:F9))&lt;0,999.99,SUM($B$10:F10)/(SUM($B$6:F6)+SUM($B$9:F9))),"")</f>
        <v>0.1307962633982097</v>
      </c>
      <c r="G12" s="82">
        <f>IF(G13="Yes",IF(SUM($B$10:G10)/(SUM($B$6:G6)+SUM($B$9:G9))&lt;0,999.99,SUM($B$10:G10)/(SUM($B$6:G6)+SUM($B$9:G9))),"")</f>
        <v>0.2094504272580754</v>
      </c>
      <c r="H12" s="82">
        <f>IF(H13="Yes",IF(SUM($B$10:H10)/(SUM($B$6:H6)+SUM($B$9:H9))&lt;0,999.99,SUM($B$10:H10)/(SUM($B$6:H6)+SUM($B$9:H9))),"")</f>
        <v>0.2891249153808066</v>
      </c>
      <c r="I12" s="82">
        <f>IF(I13="Yes",IF(SUM($B$10:I10)/(SUM($B$6:I6)+SUM($B$9:I9))&lt;0,999.99,SUM($B$10:I10)/(SUM($B$6:I6)+SUM($B$9:I9))),"")</f>
        <v>0.4399694791555439</v>
      </c>
      <c r="J12" s="82">
        <f>IF(J13="Yes",IF(SUM($B$10:J10)/(SUM($B$6:J6)+SUM($B$9:J9))&lt;0,999.99,SUM($B$10:J10)/(SUM($B$6:J6)+SUM($B$9:J9))),"")</f>
        <v>0.5605620446317956</v>
      </c>
      <c r="K12" s="82">
        <f>IF(K13="Yes",IF(SUM($B$10:K10)/(SUM($B$6:K6)+SUM($B$9:K9))&lt;0,999.99,SUM($B$10:K10)/(SUM($B$6:K6)+SUM($B$9:K9))),"")</f>
        <v>0.6939140352971944</v>
      </c>
      <c r="L12" s="82">
        <f>IF(L13="Yes",IF(SUM($B$10:L10)/(SUM($B$6:L6)+SUM($B$9:L9))&lt;0,999.99,SUM($B$10:L10)/(SUM($B$6:L6)+SUM($B$9:L9))),"")</f>
        <v>0.861764647229369</v>
      </c>
      <c r="M12" s="82">
        <f>IF(M13="Yes",IF(SUM($B$10:M10)/(SUM($B$6:M6)+SUM($B$9:M9))&lt;0,999.99,SUM($B$10:M10)/(SUM($B$6:M6)+SUM($B$9:M9))),"")</f>
        <v>1.032836878825632</v>
      </c>
      <c r="N12" s="82">
        <f>IF(N13="Yes",IF(SUM($B$10:N10)/(SUM($B$6:N6)+SUM($B$9:N9))&lt;0,999.99,SUM($B$10:N10)/(SUM($B$6:N6)+SUM($B$9:N9))),"")</f>
        <v>1.225989626892997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61352.31020019536</v>
      </c>
      <c r="D18" s="36">
        <f>P18</f>
        <v>73622.77224023442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61352.31020019536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73622.77224023442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134975.0824404298</v>
      </c>
      <c r="AA18" s="36">
        <f>SUM(B18:M18)</f>
        <v>134975.0824404298</v>
      </c>
      <c r="AB18" s="36">
        <f>SUM(B18:Y18)</f>
        <v>269950.1648808595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61352.31020019536</v>
      </c>
      <c r="D30" s="19">
        <f>SUM(D18:D29)</f>
        <v>73622.77224023442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61352.31020019536</v>
      </c>
      <c r="P30" s="19">
        <f>SUM(P18:P29)</f>
        <v>73622.77224023442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134975.0824404298</v>
      </c>
      <c r="AA30" s="19">
        <f>SUM(B30:M30)</f>
        <v>134975.0824404298</v>
      </c>
      <c r="AB30" s="19">
        <f>SUM(B30:Y30)</f>
        <v>269950.1648808595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20000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20000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3030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3030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3030</v>
      </c>
      <c r="AA42" s="36">
        <f>SUM(B42:M42)</f>
        <v>3030</v>
      </c>
      <c r="AB42" s="36">
        <f>SUM(B42:Y42)</f>
        <v>6060.000000000001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3030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3030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3030</v>
      </c>
      <c r="AA43" s="36">
        <f>SUM(B43:M43)</f>
        <v>3030</v>
      </c>
      <c r="AB43" s="36">
        <f>SUM(B43:Y43)</f>
        <v>6060.000000000001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3000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3000</v>
      </c>
      <c r="Y48" s="46">
        <f>SUM(Y49:Y53)</f>
        <v>0</v>
      </c>
      <c r="Z48" s="46">
        <f>SUMIF($B$13:$Y$13,"Yes",B48:Y48)</f>
        <v>3000</v>
      </c>
      <c r="AA48" s="46">
        <f>SUM(B48:M48)</f>
        <v>3000</v>
      </c>
      <c r="AB48" s="46">
        <f>SUM(B48:Y48)</f>
        <v>6000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3000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3000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</v>
      </c>
      <c r="AA49" s="46">
        <f>SUM(B49:M49)</f>
        <v>3000</v>
      </c>
      <c r="AB49" s="46">
        <f>SUM(B49:Y49)</f>
        <v>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29864.6166053861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29864.6166053861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29864.6166053861</v>
      </c>
      <c r="AA54" s="46">
        <f>SUM(B54:M54)</f>
        <v>29864.6166053861</v>
      </c>
      <c r="AB54" s="46">
        <f>SUM(B54:Y54)</f>
        <v>59729.2332107722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29864.6166053861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29864.6166053861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29864.6166053861</v>
      </c>
      <c r="AA55" s="46">
        <f>SUM(B55:M55)</f>
        <v>29864.6166053861</v>
      </c>
      <c r="AB55" s="46">
        <f>SUM(B55:Y55)</f>
        <v>59729.2332107722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6171.428571428572</v>
      </c>
      <c r="C66" s="36">
        <f>O66</f>
        <v>6171.428571428572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6171.428571428572</v>
      </c>
      <c r="J66" s="36">
        <f>V66</f>
        <v>6171.428571428572</v>
      </c>
      <c r="K66" s="36">
        <f>W66</f>
        <v>6171.428571428572</v>
      </c>
      <c r="L66" s="36">
        <f>X66</f>
        <v>6171.428571428572</v>
      </c>
      <c r="M66" s="36">
        <f>Y66</f>
        <v>6171.428571428572</v>
      </c>
      <c r="N66" s="46">
        <f>SUM(N67:N71)</f>
        <v>6171.428571428572</v>
      </c>
      <c r="O66" s="46">
        <f>SUM(O67:O71)</f>
        <v>6171.428571428572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6171.428571428572</v>
      </c>
      <c r="V66" s="46">
        <f>SUM(V67:V71)</f>
        <v>6171.428571428572</v>
      </c>
      <c r="W66" s="46">
        <f>SUM(W67:W71)</f>
        <v>6171.428571428572</v>
      </c>
      <c r="X66" s="46">
        <f>SUM(X67:X71)</f>
        <v>6171.428571428572</v>
      </c>
      <c r="Y66" s="46">
        <f>SUM(Y67:Y71)</f>
        <v>6171.428571428572</v>
      </c>
      <c r="Z66" s="46">
        <f>SUMIF($B$13:$Y$13,"Yes",B66:Y66)</f>
        <v>49371.42857142857</v>
      </c>
      <c r="AA66" s="46">
        <f>SUM(B66:M66)</f>
        <v>43200</v>
      </c>
      <c r="AB66" s="46">
        <f>SUM(B66:Y66)</f>
        <v>86399.99999999999</v>
      </c>
    </row>
    <row r="67" spans="1:30" hidden="true" outlineLevel="1">
      <c r="A67" s="181" t="str">
        <f>Calculations!$A$4</f>
        <v>Maize</v>
      </c>
      <c r="B67" s="36">
        <f>N67</f>
        <v>6171.428571428572</v>
      </c>
      <c r="C67" s="36">
        <f>O67</f>
        <v>6171.428571428572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6171.428571428572</v>
      </c>
      <c r="J67" s="36">
        <f>V67</f>
        <v>6171.428571428572</v>
      </c>
      <c r="K67" s="36">
        <f>W67</f>
        <v>6171.428571428572</v>
      </c>
      <c r="L67" s="36">
        <f>X67</f>
        <v>6171.428571428572</v>
      </c>
      <c r="M67" s="36">
        <f>Y67</f>
        <v>6171.428571428572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6171.428571428572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6171.428571428572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6171.428571428572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6171.428571428572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6171.428571428572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6171.428571428572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6171.428571428572</v>
      </c>
      <c r="Z67" s="46">
        <f>SUMIF($B$13:$Y$13,"Yes",B67:Y67)</f>
        <v>49371.42857142857</v>
      </c>
      <c r="AA67" s="46">
        <f>SUM(B67:M67)</f>
        <v>43200</v>
      </c>
      <c r="AB67" s="46">
        <f>SUM(B67:Y67)</f>
        <v>86399.99999999999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1196.01552783479</v>
      </c>
      <c r="C81" s="46">
        <f>(SUM($AA$18:$AA$29)-SUM($AA$36,$AA$42,$AA$48,$AA$54,$AA$60,$AA$66,$AA$72:$AA$79))*Parameters!$B$37/12</f>
        <v>1196.01552783479</v>
      </c>
      <c r="D81" s="46">
        <f>(SUM($AA$18:$AA$29)-SUM($AA$36,$AA$42,$AA$48,$AA$54,$AA$60,$AA$66,$AA$72:$AA$79))*Parameters!$B$37/12</f>
        <v>1196.01552783479</v>
      </c>
      <c r="E81" s="46">
        <f>(SUM($AA$18:$AA$29)-SUM($AA$36,$AA$42,$AA$48,$AA$54,$AA$60,$AA$66,$AA$72:$AA$79))*Parameters!$B$37/12</f>
        <v>1196.01552783479</v>
      </c>
      <c r="F81" s="46">
        <f>(SUM($AA$18:$AA$29)-SUM($AA$36,$AA$42,$AA$48,$AA$54,$AA$60,$AA$66,$AA$72:$AA$79))*Parameters!$B$37/12</f>
        <v>1196.01552783479</v>
      </c>
      <c r="G81" s="46">
        <f>(SUM($AA$18:$AA$29)-SUM($AA$36,$AA$42,$AA$48,$AA$54,$AA$60,$AA$66,$AA$72:$AA$79))*Parameters!$B$37/12</f>
        <v>1196.01552783479</v>
      </c>
      <c r="H81" s="46">
        <f>(SUM($AA$18:$AA$29)-SUM($AA$36,$AA$42,$AA$48,$AA$54,$AA$60,$AA$66,$AA$72:$AA$79))*Parameters!$B$37/12</f>
        <v>1196.01552783479</v>
      </c>
      <c r="I81" s="46">
        <f>(SUM($AA$18:$AA$29)-SUM($AA$36,$AA$42,$AA$48,$AA$54,$AA$60,$AA$66,$AA$72:$AA$79))*Parameters!$B$37/12</f>
        <v>1196.01552783479</v>
      </c>
      <c r="J81" s="46">
        <f>(SUM($AA$18:$AA$29)-SUM($AA$36,$AA$42,$AA$48,$AA$54,$AA$60,$AA$66,$AA$72:$AA$79))*Parameters!$B$37/12</f>
        <v>1196.01552783479</v>
      </c>
      <c r="K81" s="46">
        <f>(SUM($AA$18:$AA$29)-SUM($AA$36,$AA$42,$AA$48,$AA$54,$AA$60,$AA$66,$AA$72:$AA$79))*Parameters!$B$37/12</f>
        <v>1196.01552783479</v>
      </c>
      <c r="L81" s="46">
        <f>(SUM($AA$18:$AA$29)-SUM($AA$36,$AA$42,$AA$48,$AA$54,$AA$60,$AA$66,$AA$72:$AA$79))*Parameters!$B$37/12</f>
        <v>1196.01552783479</v>
      </c>
      <c r="M81" s="46">
        <f>(SUM($AA$18:$AA$29)-SUM($AA$36,$AA$42,$AA$48,$AA$54,$AA$60,$AA$66,$AA$72:$AA$79))*Parameters!$B$37/12</f>
        <v>1196.01552783479</v>
      </c>
      <c r="N81" s="46">
        <f>(SUM($AA$18:$AA$29)-SUM($AA$36,$AA$42,$AA$48,$AA$54,$AA$60,$AA$66,$AA$72:$AA$79))*Parameters!$B$37/12</f>
        <v>1196.01552783479</v>
      </c>
      <c r="O81" s="46">
        <f>(SUM($AA$18:$AA$29)-SUM($AA$36,$AA$42,$AA$48,$AA$54,$AA$60,$AA$66,$AA$72:$AA$79))*Parameters!$B$37/12</f>
        <v>1196.01552783479</v>
      </c>
      <c r="P81" s="46">
        <f>(SUM($AA$18:$AA$29)-SUM($AA$36,$AA$42,$AA$48,$AA$54,$AA$60,$AA$66,$AA$72:$AA$79))*Parameters!$B$37/12</f>
        <v>1196.01552783479</v>
      </c>
      <c r="Q81" s="46">
        <f>(SUM($AA$18:$AA$29)-SUM($AA$36,$AA$42,$AA$48,$AA$54,$AA$60,$AA$66,$AA$72:$AA$79))*Parameters!$B$37/12</f>
        <v>1196.01552783479</v>
      </c>
      <c r="R81" s="46">
        <f>(SUM($AA$18:$AA$29)-SUM($AA$36,$AA$42,$AA$48,$AA$54,$AA$60,$AA$66,$AA$72:$AA$79))*Parameters!$B$37/12</f>
        <v>1196.01552783479</v>
      </c>
      <c r="S81" s="46">
        <f>(SUM($AA$18:$AA$29)-SUM($AA$36,$AA$42,$AA$48,$AA$54,$AA$60,$AA$66,$AA$72:$AA$79))*Parameters!$B$37/12</f>
        <v>1196.01552783479</v>
      </c>
      <c r="T81" s="46">
        <f>(SUM($AA$18:$AA$29)-SUM($AA$36,$AA$42,$AA$48,$AA$54,$AA$60,$AA$66,$AA$72:$AA$79))*Parameters!$B$37/12</f>
        <v>1196.01552783479</v>
      </c>
      <c r="U81" s="46">
        <f>(SUM($AA$18:$AA$29)-SUM($AA$36,$AA$42,$AA$48,$AA$54,$AA$60,$AA$66,$AA$72:$AA$79))*Parameters!$B$37/12</f>
        <v>1196.01552783479</v>
      </c>
      <c r="V81" s="46">
        <f>(SUM($AA$18:$AA$29)-SUM($AA$36,$AA$42,$AA$48,$AA$54,$AA$60,$AA$66,$AA$72:$AA$79))*Parameters!$B$37/12</f>
        <v>1196.01552783479</v>
      </c>
      <c r="W81" s="46">
        <f>(SUM($AA$18:$AA$29)-SUM($AA$36,$AA$42,$AA$48,$AA$54,$AA$60,$AA$66,$AA$72:$AA$79))*Parameters!$B$37/12</f>
        <v>1196.01552783479</v>
      </c>
      <c r="X81" s="46">
        <f>(SUM($AA$18:$AA$29)-SUM($AA$36,$AA$42,$AA$48,$AA$54,$AA$60,$AA$66,$AA$72:$AA$79))*Parameters!$B$37/12</f>
        <v>1196.01552783479</v>
      </c>
      <c r="Y81" s="46">
        <f>(SUM($AA$18:$AA$29)-SUM($AA$36,$AA$42,$AA$48,$AA$54,$AA$60,$AA$66,$AA$72:$AA$79))*Parameters!$B$37/12</f>
        <v>1196.01552783479</v>
      </c>
      <c r="Z81" s="46">
        <f>SUMIF($B$13:$Y$13,"Yes",B81:Y81)</f>
        <v>15548.20186185227</v>
      </c>
      <c r="AA81" s="46">
        <f>SUM(B81:M81)</f>
        <v>14352.18633401748</v>
      </c>
      <c r="AB81" s="46">
        <f>SUM(B81:Y81)</f>
        <v>28704.37266803494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7367.444099263361</v>
      </c>
      <c r="C88" s="19">
        <f>SUM(C72:C82,C66,C60,C54,C48,C42,C36)</f>
        <v>37232.06070464946</v>
      </c>
      <c r="D88" s="19">
        <f>SUM(D72:D82,D66,D60,D54,D48,D42,D36)</f>
        <v>1196.01552783479</v>
      </c>
      <c r="E88" s="19">
        <f>SUM(E72:E82,E66,E60,E54,E48,E42,E36)</f>
        <v>1196.01552783479</v>
      </c>
      <c r="F88" s="19">
        <f>SUM(F72:F82,F66,F60,F54,F48,F42,F36)</f>
        <v>1196.01552783479</v>
      </c>
      <c r="G88" s="19">
        <f>SUM(G72:G82,G66,G60,G54,G48,G42,G36)</f>
        <v>1196.01552783479</v>
      </c>
      <c r="H88" s="19">
        <f>SUM(H72:H82,H66,H60,H54,H48,H42,H36)</f>
        <v>1196.01552783479</v>
      </c>
      <c r="I88" s="19">
        <f>SUM(I72:I82,I66,I60,I54,I48,I42,I36)</f>
        <v>30397.44409926336</v>
      </c>
      <c r="J88" s="19">
        <f>SUM(J72:J82,J66,J60,J54,J48,J42,J36)</f>
        <v>7367.444099263361</v>
      </c>
      <c r="K88" s="19">
        <f>SUM(K72:K82,K66,K60,K54,K48,K42,K36)</f>
        <v>7367.444099263361</v>
      </c>
      <c r="L88" s="19">
        <f>SUM(L72:L82,L66,L60,L54,L48,L42,L36)</f>
        <v>10367.44409926336</v>
      </c>
      <c r="M88" s="19">
        <f>SUM(M72:M82,M66,M60,M54,M48,M42,M36)</f>
        <v>7367.444099263361</v>
      </c>
      <c r="N88" s="19">
        <f>SUM(N72:N82,N66,N60,N54,N48,N42,N36)</f>
        <v>7367.444099263361</v>
      </c>
      <c r="O88" s="19">
        <f>SUM(O72:O82,O66,O60,O54,O48,O42,O36)</f>
        <v>37232.06070464946</v>
      </c>
      <c r="P88" s="19">
        <f>SUM(P72:P82,P66,P60,P54,P48,P42,P36)</f>
        <v>1196.01552783479</v>
      </c>
      <c r="Q88" s="19">
        <f>SUM(Q72:Q82,Q66,Q60,Q54,Q48,Q42,Q36)</f>
        <v>1196.01552783479</v>
      </c>
      <c r="R88" s="19">
        <f>SUM(R72:R82,R66,R60,R54,R48,R42,R36)</f>
        <v>1196.01552783479</v>
      </c>
      <c r="S88" s="19">
        <f>SUM(S72:S82,S66,S60,S54,S48,S42,S36)</f>
        <v>1196.01552783479</v>
      </c>
      <c r="T88" s="19">
        <f>SUM(T72:T82,T66,T60,T54,T48,T42,T36)</f>
        <v>1196.01552783479</v>
      </c>
      <c r="U88" s="19">
        <f>SUM(U72:U82,U66,U60,U54,U48,U42,U36)</f>
        <v>30397.44409926336</v>
      </c>
      <c r="V88" s="19">
        <f>SUM(V72:V82,V66,V60,V54,V48,V42,V36)</f>
        <v>7367.444099263361</v>
      </c>
      <c r="W88" s="19">
        <f>SUM(W72:W82,W66,W60,W54,W48,W42,W36)</f>
        <v>7367.444099263361</v>
      </c>
      <c r="X88" s="19">
        <f>SUM(X72:X82,X66,X60,X54,X48,X42,X36)</f>
        <v>10367.44409926336</v>
      </c>
      <c r="Y88" s="19">
        <f>SUM(Y72:Y82,Y66,Y60,Y54,Y48,Y42,Y36)</f>
        <v>7367.444099263361</v>
      </c>
      <c r="Z88" s="19">
        <f>SUMIF($B$13:$Y$13,"Yes",B88:Y88)</f>
        <v>120814.2470386669</v>
      </c>
      <c r="AA88" s="19">
        <f>SUM(B88:M88)</f>
        <v>113446.8029394036</v>
      </c>
      <c r="AB88" s="19">
        <f>SUM(B88:Y88)</f>
        <v>226893.6058788071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2000000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600000</v>
      </c>
    </row>
    <row r="100" spans="1:30" customHeight="1" ht="15.75">
      <c r="A100" s="18" t="s">
        <v>66</v>
      </c>
      <c r="B100" s="37">
        <f>Inputs!B48</f>
        <v>400000</v>
      </c>
    </row>
    <row r="101" spans="1:30" customHeight="1" ht="15.75">
      <c r="A101" s="1" t="s">
        <v>67</v>
      </c>
      <c r="B101" s="19">
        <f>SUM(B94:B100)</f>
        <v>3300000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40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0</v>
      </c>
    </row>
    <row r="31" spans="1:48">
      <c r="A31" s="5" t="s">
        <v>114</v>
      </c>
      <c r="B31" s="158">
        <v>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0</v>
      </c>
    </row>
    <row r="46" spans="1:48" customHeight="1" ht="30">
      <c r="A46" s="57" t="s">
        <v>128</v>
      </c>
      <c r="B46" s="161">
        <v>600000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400000</v>
      </c>
    </row>
    <row r="49" spans="1:48" customHeight="1" ht="30">
      <c r="A49" s="57" t="s">
        <v>131</v>
      </c>
      <c r="B49" s="161">
        <v>100000</v>
      </c>
    </row>
    <row r="50" spans="1:48">
      <c r="A50" s="43"/>
      <c r="B50" s="36"/>
    </row>
    <row r="51" spans="1:48">
      <c r="A51" s="58" t="s">
        <v>132</v>
      </c>
      <c r="B51" s="161">
        <v>20000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19968</v>
      </c>
      <c r="B56" s="159">
        <v>0</v>
      </c>
      <c r="C56" s="162" t="s">
        <v>140</v>
      </c>
      <c r="D56" s="163" t="s">
        <v>141</v>
      </c>
      <c r="E56" s="163" t="s">
        <v>92</v>
      </c>
      <c r="F56" s="163" t="s">
        <v>142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144</v>
      </c>
      <c r="C65" s="10" t="s">
        <v>145</v>
      </c>
    </row>
    <row r="66" spans="1:48">
      <c r="A66" s="142" t="s">
        <v>146</v>
      </c>
      <c r="B66" s="159">
        <v>456878</v>
      </c>
      <c r="C66" s="163">
        <v>44225</v>
      </c>
      <c r="D66" s="49">
        <f>INDEX(Parameters!$D$79:$D$90,MATCH(Inputs!A66,Parameters!$C$79:$C$90,0))</f>
        <v>7</v>
      </c>
    </row>
    <row r="67" spans="1:48">
      <c r="A67" s="143" t="s">
        <v>94</v>
      </c>
      <c r="B67" s="157">
        <v>394444</v>
      </c>
      <c r="C67" s="165">
        <v>28741</v>
      </c>
      <c r="D67" s="49">
        <f>INDEX(Parameters!$D$79:$D$90,MATCH(Inputs!A67,Parameters!$C$79:$C$90,0))</f>
        <v>8</v>
      </c>
    </row>
    <row r="68" spans="1:48">
      <c r="A68" s="143" t="s">
        <v>147</v>
      </c>
      <c r="B68" s="157">
        <v>97477</v>
      </c>
      <c r="C68" s="165">
        <v>87144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1278712</v>
      </c>
      <c r="C69" s="165">
        <v>257854</v>
      </c>
      <c r="D69" s="49">
        <f>INDEX(Parameters!$D$79:$D$90,MATCH(Inputs!A69,Parameters!$C$79:$C$90,0))</f>
        <v>10</v>
      </c>
    </row>
    <row r="70" spans="1:48">
      <c r="A70" s="143" t="s">
        <v>149</v>
      </c>
      <c r="B70" s="157">
        <v>127879</v>
      </c>
      <c r="C70" s="165">
        <v>486486</v>
      </c>
      <c r="D70" s="49">
        <f>INDEX(Parameters!$D$79:$D$90,MATCH(Inputs!A70,Parameters!$C$79:$C$90,0))</f>
        <v>11</v>
      </c>
    </row>
    <row r="71" spans="1:48">
      <c r="A71" s="144" t="s">
        <v>150</v>
      </c>
      <c r="B71" s="158">
        <v>487888</v>
      </c>
      <c r="C71" s="167">
        <v>398485</v>
      </c>
      <c r="D71" s="49">
        <f>INDEX(Parameters!$D$79:$D$90,MATCH(Inputs!A71,Parameters!$C$79:$C$90,0))</f>
        <v>12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19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39.96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>
        <v>3</v>
      </c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43313</v>
      </c>
      <c r="C4" s="38">
        <f>IFERROR(DATE(YEAR(B4),MONTH(B4)+ROUND(T4/2,0),DAY(B4)),B4)</f>
        <v>43405</v>
      </c>
      <c r="D4" s="38">
        <f>IFERROR(DATE(YEAR(B4),MONTH(B4)+T4,DAY(B4)),"")</f>
        <v>43497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43497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1298.461591538526</v>
      </c>
      <c r="M4" s="25">
        <f>L4*H4</f>
        <v>6492.30795769263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122704.6204003907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1515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14932.30830269305</v>
      </c>
      <c r="AB4" s="33">
        <f>H4*IFERROR(INDEX(Parameters!$A$3:$AI$17,MATCH(Calculations!A4,Parameters!$A$3:$A$17,0),MATCH(Parameters!$O$3,Parameters!$A$3:$AI$3,0)),AVERAGE(Parameters!$O$4:$O$17))*(1-Inputs!$B$25/100)</f>
        <v>36000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>19968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43155</v>
      </c>
      <c r="C33" s="27">
        <f>IF(B33&lt;&gt;"",IF(COUNT($A$33:A33)&lt;=$G$39,0,$G$41)+IF(COUNT($A$33:A33)&lt;=$G$40,0,$G$42),0)</f>
        <v>3330</v>
      </c>
      <c r="D33" s="170">
        <f>IFERROR(DATE(YEAR(B33),MONTH(B33),1)," ")</f>
        <v>43132</v>
      </c>
      <c r="F33" t="s">
        <v>156</v>
      </c>
      <c r="G33" s="128">
        <f>IF(Inputs!B79="","",DATE(YEAR(Inputs!B79),MONTH(Inputs!B79),DAY(Inputs!B79)))</f>
        <v>43124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43183</v>
      </c>
      <c r="C34" s="27">
        <f>IF(B34&lt;&gt;"",IF(COUNT($A$33:A34)&lt;=$G$39,0,$G$41)+IF(COUNT($A$33:A34)&lt;=$G$40,0,$G$42),0)</f>
        <v>3330</v>
      </c>
      <c r="D34" s="170">
        <f>IFERROR(DATE(YEAR(B34),MONTH(B34),1)," ")</f>
        <v>43160</v>
      </c>
      <c r="F34" t="s">
        <v>157</v>
      </c>
      <c r="G34" s="128">
        <f>IF(Inputs!B80="","",DATE(YEAR(Inputs!B80),MONTH(Inputs!B80),DAY(Inputs!B80)))</f>
        <v>43155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43214</v>
      </c>
      <c r="C35" s="27">
        <f>IF(B35&lt;&gt;"",IF(COUNT($A$33:A35)&lt;=$G$39,0,$G$41)+IF(COUNT($A$33:A35)&lt;=$G$40,0,$G$42),0)</f>
        <v>3330</v>
      </c>
      <c r="D35" s="170">
        <f>IFERROR(DATE(YEAR(B35),MONTH(B35),1)," ")</f>
        <v>43191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43244</v>
      </c>
      <c r="C36" s="27">
        <f>IF(B36&lt;&gt;"",IF(COUNT($A$33:A36)&lt;=$G$39,0,$G$41)+IF(COUNT($A$33:A36)&lt;=$G$40,0,$G$42),0)</f>
        <v>14441.11111111111</v>
      </c>
      <c r="D36" s="170">
        <f>IFERROR(DATE(YEAR(B36),MONTH(B36),1)," ")</f>
        <v>43221</v>
      </c>
      <c r="F36" t="s">
        <v>160</v>
      </c>
      <c r="G36" s="130">
        <f>Inputs!B82/100</f>
        <v>0.3996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43275</v>
      </c>
      <c r="C37" s="27">
        <f>IF(B37&lt;&gt;"",IF(COUNT($A$33:A37)&lt;=$G$39,0,$G$41)+IF(COUNT($A$33:A37)&lt;=$G$40,0,$G$42),0)</f>
        <v>14441.11111111111</v>
      </c>
      <c r="D37" s="170">
        <f>IFERROR(DATE(YEAR(B37),MONTH(B37),1)," ")</f>
        <v>43252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43305</v>
      </c>
      <c r="C38" s="27">
        <f>IF(B38&lt;&gt;"",IF(COUNT($A$33:A38)&lt;=$G$39,0,$G$41)+IF(COUNT($A$33:A38)&lt;=$G$40,0,$G$42),0)</f>
        <v>14441.11111111111</v>
      </c>
      <c r="D38" s="170">
        <f>IFERROR(DATE(YEAR(B38),MONTH(B38),1)," ")</f>
        <v>43282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43336</v>
      </c>
      <c r="C39" s="27">
        <f>IF(B39&lt;&gt;"",IF(COUNT($A$33:A39)&lt;=$G$39,0,$G$41)+IF(COUNT($A$33:A39)&lt;=$G$40,0,$G$42),0)</f>
        <v>14441.11111111111</v>
      </c>
      <c r="D39" s="170">
        <f>IFERROR(DATE(YEAR(B39),MONTH(B39),1)," ")</f>
        <v>43313</v>
      </c>
      <c r="F39" t="s">
        <v>165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43367</v>
      </c>
      <c r="C40" s="27">
        <f>IF(B40&lt;&gt;"",IF(COUNT($A$33:A40)&lt;=$G$39,0,$G$41)+IF(COUNT($A$33:A40)&lt;=$G$40,0,$G$42),0)</f>
        <v>14441.11111111111</v>
      </c>
      <c r="D40" s="170">
        <f>IFERROR(DATE(YEAR(B40),MONTH(B40),1)," ")</f>
        <v>43344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43397</v>
      </c>
      <c r="C41" s="27">
        <f>IF(B41&lt;&gt;"",IF(COUNT($A$33:A41)&lt;=$G$39,0,$G$41)+IF(COUNT($A$33:A41)&lt;=$G$40,0,$G$42),0)</f>
        <v>14441.11111111111</v>
      </c>
      <c r="D41" s="170">
        <f>IFERROR(DATE(YEAR(B41),MONTH(B41),1)," ")</f>
        <v>43374</v>
      </c>
      <c r="F41" t="s">
        <v>223</v>
      </c>
      <c r="G41" s="73">
        <f>IFERROR(G35/(G38-G39),"")</f>
        <v>11111.11111111111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43428</v>
      </c>
      <c r="C42" s="27">
        <f>IF(B42&lt;&gt;"",IF(COUNT($A$33:A42)&lt;=$G$39,0,$G$41)+IF(COUNT($A$33:A42)&lt;=$G$40,0,$G$42),0)</f>
        <v>14441.11111111111</v>
      </c>
      <c r="D42" s="170">
        <f>IFERROR(DATE(YEAR(B42),MONTH(B42),1)," ")</f>
        <v>43405</v>
      </c>
      <c r="F42" t="s">
        <v>224</v>
      </c>
      <c r="G42" s="73">
        <f>IFERROR(G35*G36*IF(G37="Monthly",G38/12,IF(G37="Fortnightly",G38/(365/14),G38/(365/28)))/(G38-G40),"")</f>
        <v>3330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43458</v>
      </c>
      <c r="C43" s="27">
        <f>IF(B43&lt;&gt;"",IF(COUNT($A$33:A43)&lt;=$G$39,0,$G$41)+IF(COUNT($A$33:A43)&lt;=$G$40,0,$G$42),0)</f>
        <v>14441.11111111111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43489</v>
      </c>
      <c r="C44" s="27">
        <f>IF(B44&lt;&gt;"",IF(COUNT($A$33:A44)&lt;=$G$39,0,$G$41)+IF(COUNT($A$33:A44)&lt;=$G$40,0,$G$42),0)</f>
        <v>14441.11111111111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311</v>
      </c>
      <c r="H52" s="12" t="s">
        <v>125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93</v>
      </c>
      <c r="F77" s="12" t="s">
        <v>93</v>
      </c>
      <c r="G77" s="12" t="s">
        <v>347</v>
      </c>
      <c r="H77" s="12" t="s">
        <v>125</v>
      </c>
      <c r="I77" s="12" t="s">
        <v>348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312</v>
      </c>
      <c r="I78" s="12" t="s">
        <v>353</v>
      </c>
      <c r="J78" s="70" t="s">
        <v>354</v>
      </c>
      <c r="K78" s="12" t="s">
        <v>93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162</v>
      </c>
      <c r="J79" s="70" t="s">
        <v>359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