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<sst xmlns="http://schemas.openxmlformats.org/spreadsheetml/2006/main" uniqueCount="366">
  <si>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</si>
  <si>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</si>
  <si>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</si>
  <si>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</si>
  <si>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</si>
  <si>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</si>
  <si>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</si>
  <si>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</si>
  <si>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</si>
  <si>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</si>
  <si>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</si>
  <si>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</si>
  <si>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</si>
  <si>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</si>
  <si>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</si>
  <si>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</si>
  <si>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</si>
  <si>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</si>
  <si>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</si>
  <si>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</si>
  <si>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</si>
  <si>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</si>
  <si>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</si>
  <si>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</si>
  <si>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</si>
  <si>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</si>
  <si>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</si>
  <si>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</si>
  <si>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</si>
  <si>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</si>
  <si>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</si>
  <si>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</si>
  <si>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</si>
  <si>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</si>
  <si>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</si>
  <si>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</si>
  <si>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</si>
  <si>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</si>
  <si>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</si>
  <si>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</si>
  <si>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</si>
  <si>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</si>
  <si>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</si>
  <si>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</si>
  <si>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</si>
  <si>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</si>
  <si>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</si>
  <si>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</si>
  <si>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</si>
  <si>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</si>
  <si>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</si>
  <si>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</si>
  <si>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</si>
  <si>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</si>
  <si>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</si>
  <si>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</si>
  <si>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</si>
  <si>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</si>
  <si>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</si>
  <si>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</si>
  <si>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</si>
  <si>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</si>
  <si>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</si>
  <si>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</si>
  <si>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</si>
  <si>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</si>
  <si>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</si>
  <si>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</si>
  <si>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</si>
  <si>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</si>
  <si>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</si>
  <si>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</si>
  <si>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</si>
  <si>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</si>
  <si>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</si>
  <si>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</si>
  <si>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</si>
  <si>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</si>
  <si>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</si>
  <si>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</si>
  <si>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</si>
  <si>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</si>
  <si>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</si>
  <si>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</si>
  <si>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</si>
  <si>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</si>
  <si>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</si>
  <si>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</si>
  <si>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</si>
  <si>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</si>
  <si>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</si>
  <si>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</si>
  <si>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</si>
  <si>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</si>
  <si>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</si>
  <si>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</si>
  <si>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</si>
  <si>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</si>
  <si>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</si>
  <si>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</si>
  <si>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</si>
  <si>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</si>
  <si>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</si>
  <si>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</si>
  <si>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</si>
  <si>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</si>
  <si>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</si>
  <si>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</si>
  <si>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</si>
  <si>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</si>
  <si>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</si>
  <si>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</si>
  <si>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</si>
  <si>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</si>
  <si>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</si>
  <si>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</si>
  <si>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</si>
  <si>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</si>
  <si>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</si>
  <si>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</si>
  <si>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</si>
  <si>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</si>
  <si>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</si>
  <si>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</si>
  <si>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</si>
  <si>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</si>
  <si>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</si>
  <si>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</si>
  <si>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</si>
  <si>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</si>
  <si>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</si>
  <si>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</si>
  <si>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</si>
  <si>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</si>
  <si>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</si>
  <si>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</si>
  <si>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</si>
  <si>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</si>
  <si>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</si>
  <si>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</si>
  <si>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</si>
  <si>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</si>
  <si>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</si>
  <si>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1/25/2018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</si>
  <si>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</si>
  <si>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</si>
  <si>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</si>
  <si>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</si>
  <si>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</si>
  <si>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</si>
  <si>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</si>
  <si>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</si>
  <si>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</si>
  <si>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</si>
  <si>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2018/1/25</t>
  </si>
  <si>
    <t>Loan terms</t>
  </si>
  <si>
    <t>Expected disbursement date</t>
  </si>
  <si>
    <t>Expected first repayment date</t>
  </si>
  <si>
    <t>2018/2/25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</si>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</sst>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17250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-1434</v>
      </c>
      <c r="J7" s="80">
        <f>IF(ISERROR(VLOOKUP(MONTH(J5),Inputs!$D$66:$D$71,1,0)),"",INDEX(Inputs!$B$66:$B$71,MATCH(MONTH(Output!J5),Inputs!$D$66:$D$71,0))-INDEX(Inputs!$C$66:$C$71,MATCH(MONTH(Output!J5),Inputs!$D$66:$D$71,0)))</f>
        <v>527</v>
      </c>
      <c r="K7" s="80">
        <f>IF(ISERROR(VLOOKUP(MONTH(K5),Inputs!$D$66:$D$71,1,0)),"",INDEX(Inputs!$B$66:$B$71,MATCH(MONTH(Output!K5),Inputs!$D$66:$D$71,0))-INDEX(Inputs!$C$66:$C$71,MATCH(MONTH(Output!K5),Inputs!$D$66:$D$71,0)))</f>
        <v>-481</v>
      </c>
      <c r="L7" s="80">
        <f>IF(ISERROR(VLOOKUP(MONTH(L5),Inputs!$D$66:$D$71,1,0)),"",INDEX(Inputs!$B$66:$B$71,MATCH(MONTH(Output!L5),Inputs!$D$66:$D$71,0))-INDEX(Inputs!$C$66:$C$71,MATCH(MONTH(Output!L5),Inputs!$D$66:$D$71,0)))</f>
        <v>179</v>
      </c>
      <c r="M7" s="80">
        <f>IF(ISERROR(VLOOKUP(MONTH(M5),Inputs!$D$66:$D$71,1,0)),"",INDEX(Inputs!$B$66:$B$71,MATCH(MONTH(Output!M5),Inputs!$D$66:$D$71,0))-INDEX(Inputs!$C$66:$C$71,MATCH(MONTH(Output!M5),Inputs!$D$66:$D$71,0)))</f>
        <v>-209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-1434</v>
      </c>
      <c r="V7" s="80">
        <f>IF(ISERROR(VLOOKUP(MONTH(V5),Inputs!$D$66:$D$71,1,0)),"",INDEX(Inputs!$B$66:$B$71,MATCH(MONTH(Output!V5),Inputs!$D$66:$D$71,0))-INDEX(Inputs!$C$66:$C$71,MATCH(MONTH(Output!V5),Inputs!$D$66:$D$71,0)))</f>
        <v>527</v>
      </c>
      <c r="W7" s="80">
        <f>IF(ISERROR(VLOOKUP(MONTH(W5),Inputs!$D$66:$D$71,1,0)),"",INDEX(Inputs!$B$66:$B$71,MATCH(MONTH(Output!W5),Inputs!$D$66:$D$71,0))-INDEX(Inputs!$C$66:$C$71,MATCH(MONTH(Output!W5),Inputs!$D$66:$D$71,0)))</f>
        <v>-481</v>
      </c>
      <c r="X7" s="80">
        <f>IF(ISERROR(VLOOKUP(MONTH(X5),Inputs!$D$66:$D$71,1,0)),"",INDEX(Inputs!$B$66:$B$71,MATCH(MONTH(Output!X5),Inputs!$D$66:$D$71,0))-INDEX(Inputs!$C$66:$C$71,MATCH(MONTH(Output!X5),Inputs!$D$66:$D$71,0)))</f>
        <v>179</v>
      </c>
      <c r="Y7" s="80">
        <f>IF(ISERROR(VLOOKUP(MONTH(Y5),Inputs!$D$66:$D$71,1,0)),"",INDEX(Inputs!$B$66:$B$71,MATCH(MONTH(Output!Y5),Inputs!$D$66:$D$71,0))-INDEX(Inputs!$C$66:$C$71,MATCH(MONTH(Output!Y5),Inputs!$D$66:$D$71,0)))</f>
        <v>-209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17250</v>
      </c>
      <c r="D10" s="37">
        <f>SUMPRODUCT((Calculations!$D$33:$D$84=Output!D5)+0,Calculations!$C$33:$C$84)</f>
        <v>17250</v>
      </c>
      <c r="E10" s="37">
        <f>SUMPRODUCT((Calculations!$D$33:$D$84=Output!E5)+0,Calculations!$C$33:$C$84)</f>
        <v>17250</v>
      </c>
      <c r="F10" s="37">
        <f>SUMPRODUCT((Calculations!$D$33:$D$84=Output!F5)+0,Calculations!$C$33:$C$84)</f>
        <v>17250</v>
      </c>
      <c r="G10" s="37">
        <f>SUMPRODUCT((Calculations!$D$33:$D$84=Output!G5)+0,Calculations!$C$33:$C$84)</f>
        <v>17250</v>
      </c>
      <c r="H10" s="37">
        <f>SUMPRODUCT((Calculations!$D$33:$D$84=Output!H5)+0,Calculations!$C$33:$C$84)</f>
        <v>17250</v>
      </c>
      <c r="I10" s="37">
        <f>SUMPRODUCT((Calculations!$D$33:$D$84=Output!I5)+0,Calculations!$C$33:$C$84)</f>
        <v>17250</v>
      </c>
      <c r="J10" s="37">
        <f>SUMPRODUCT((Calculations!$D$33:$D$84=Output!J5)+0,Calculations!$C$33:$C$84)</f>
        <v>17250</v>
      </c>
      <c r="K10" s="37">
        <f>SUMPRODUCT((Calculations!$D$33:$D$84=Output!K5)+0,Calculations!$C$33:$C$84)</f>
        <v>17250</v>
      </c>
      <c r="L10" s="37">
        <f>SUMPRODUCT((Calculations!$D$33:$D$84=Output!L5)+0,Calculations!$C$33:$C$84)</f>
        <v>17250</v>
      </c>
      <c r="M10" s="37">
        <f>SUMPRODUCT((Calculations!$D$33:$D$84=Output!M5)+0,Calculations!$C$33:$C$84)</f>
        <v>17250</v>
      </c>
      <c r="N10" s="37">
        <f>SUMPRODUCT((Calculations!$D$33:$D$84=Output!N5)+0,Calculations!$C$33:$C$84)</f>
        <v>17250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207000</v>
      </c>
      <c r="AA10" s="37">
        <f>SUM(B10:M10)</f>
        <v>189750</v>
      </c>
      <c r="AB10" s="37">
        <f>SUM(B10:Y10)</f>
        <v>207000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-17250</v>
      </c>
      <c r="D11" s="80">
        <f>D6+D9-D10</f>
        <v>-17250</v>
      </c>
      <c r="E11" s="80">
        <f>E6+E9-E10</f>
        <v>-17250</v>
      </c>
      <c r="F11" s="80">
        <f>F6+F9-F10</f>
        <v>-17250</v>
      </c>
      <c r="G11" s="80">
        <f>G6+G9-G10</f>
        <v>-17250</v>
      </c>
      <c r="H11" s="80">
        <f>H6+H9-H10</f>
        <v>-17250</v>
      </c>
      <c r="I11" s="80">
        <f>I6+I9-I10</f>
        <v>-17250</v>
      </c>
      <c r="J11" s="80">
        <f>J6+J9-J10</f>
        <v>-17250</v>
      </c>
      <c r="K11" s="80">
        <f>K6+K9-K10</f>
        <v>-17250</v>
      </c>
      <c r="L11" s="80">
        <f>L6+L9-L10</f>
        <v>-17250</v>
      </c>
      <c r="M11" s="80">
        <f>M6+M9-M10</f>
        <v>-17250</v>
      </c>
      <c r="N11" s="80">
        <f>N6+N9-N10</f>
        <v>-17250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-57000</v>
      </c>
      <c r="AA11" s="80">
        <f>SUM(B11:M11)</f>
        <v>-39750</v>
      </c>
      <c r="AB11" s="46">
        <f>SUM(B11:Y11)</f>
        <v>-57000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0.115</v>
      </c>
      <c r="D12" s="82">
        <f>IF(D13="Yes",IF(SUM($B$10:D10)/(SUM($B$6:D6)+SUM($B$9:D9))&lt;0,999.99,SUM($B$10:D10)/(SUM($B$6:D6)+SUM($B$9:D9))),"")</f>
        <v>0.23</v>
      </c>
      <c r="E12" s="82">
        <f>IF(E13="Yes",IF(SUM($B$10:E10)/(SUM($B$6:E6)+SUM($B$9:E9))&lt;0,999.99,SUM($B$10:E10)/(SUM($B$6:E6)+SUM($B$9:E9))),"")</f>
        <v>0.345</v>
      </c>
      <c r="F12" s="82">
        <f>IF(F13="Yes",IF(SUM($B$10:F10)/(SUM($B$6:F6)+SUM($B$9:F9))&lt;0,999.99,SUM($B$10:F10)/(SUM($B$6:F6)+SUM($B$9:F9))),"")</f>
        <v>0.46</v>
      </c>
      <c r="G12" s="82">
        <f>IF(G13="Yes",IF(SUM($B$10:G10)/(SUM($B$6:G6)+SUM($B$9:G9))&lt;0,999.99,SUM($B$10:G10)/(SUM($B$6:G6)+SUM($B$9:G9))),"")</f>
        <v>0.575</v>
      </c>
      <c r="H12" s="82">
        <f>IF(H13="Yes",IF(SUM($B$10:H10)/(SUM($B$6:H6)+SUM($B$9:H9))&lt;0,999.99,SUM($B$10:H10)/(SUM($B$6:H6)+SUM($B$9:H9))),"")</f>
        <v>0.6899999999999999</v>
      </c>
      <c r="I12" s="82">
        <f>IF(I13="Yes",IF(SUM($B$10:I10)/(SUM($B$6:I6)+SUM($B$9:I9))&lt;0,999.99,SUM($B$10:I10)/(SUM($B$6:I6)+SUM($B$9:I9))),"")</f>
        <v>0.805</v>
      </c>
      <c r="J12" s="82">
        <f>IF(J13="Yes",IF(SUM($B$10:J10)/(SUM($B$6:J6)+SUM($B$9:J9))&lt;0,999.99,SUM($B$10:J10)/(SUM($B$6:J6)+SUM($B$9:J9))),"")</f>
        <v>0.92</v>
      </c>
      <c r="K12" s="82">
        <f>IF(K13="Yes",IF(SUM($B$10:K10)/(SUM($B$6:K6)+SUM($B$9:K9))&lt;0,999.99,SUM($B$10:K10)/(SUM($B$6:K6)+SUM($B$9:K9))),"")</f>
        <v>1.035</v>
      </c>
      <c r="L12" s="82">
        <f>IF(L13="Yes",IF(SUM($B$10:L10)/(SUM($B$6:L6)+SUM($B$9:L9))&lt;0,999.99,SUM($B$10:L10)/(SUM($B$6:L6)+SUM($B$9:L9))),"")</f>
        <v>1.15</v>
      </c>
      <c r="M12" s="82">
        <f>IF(M13="Yes",IF(SUM($B$10:M10)/(SUM($B$6:M6)+SUM($B$9:M9))&lt;0,999.99,SUM($B$10:M10)/(SUM($B$6:M6)+SUM($B$9:M9))),"")</f>
        <v>1.265</v>
      </c>
      <c r="N12" s="82">
        <f>IF(N13="Yes",IF(SUM($B$10:N10)/(SUM($B$6:N6)+SUM($B$9:N9))&lt;0,999.99,SUM($B$10:N10)/(SUM($B$6:N6)+SUM($B$9:N9))),"")</f>
        <v>1.38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241410</v>
      </c>
      <c r="C66" s="163">
        <v>241619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100130</v>
      </c>
      <c r="C67" s="165">
        <v>99951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103396</v>
      </c>
      <c r="C68" s="165">
        <v>103877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77126</v>
      </c>
      <c r="C69" s="165">
        <v>76599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66332</v>
      </c>
      <c r="C70" s="165">
        <v>67766</v>
      </c>
      <c r="D70" s="49">
        <f>INDEX(Parameters!$D$79:$D$90,MATCH(Inputs!A70,Parameters!$C$79:$C$90,0))</f>
        <v>8</v>
      </c>
    </row>
    <row r="71" spans="1:48">
      <c r="A71" s="144" t="s">
        <v>122</v>
      </c>
      <c r="B71" s="158">
        <v>65990</v>
      </c>
      <c r="C71" s="167">
        <v>64431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38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43156</v>
      </c>
      <c r="C33" s="27">
        <f>IF(B33&lt;&gt;"",IF(COUNT($A$33:A33)&lt;=$G$39,0,$G$41)+IF(COUNT($A$33:A33)&lt;=$G$40,0,$G$42),0)</f>
        <v>17250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43184</v>
      </c>
      <c r="C34" s="27">
        <f>IF(B34&lt;&gt;"",IF(COUNT($A$33:A34)&lt;=$G$39,0,$G$41)+IF(COUNT($A$33:A34)&lt;=$G$40,0,$G$42),0)</f>
        <v>17250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43215</v>
      </c>
      <c r="C35" s="27">
        <f>IF(B35&lt;&gt;"",IF(COUNT($A$33:A35)&lt;=$G$39,0,$G$41)+IF(COUNT($A$33:A35)&lt;=$G$40,0,$G$42),0)</f>
        <v>17250</v>
      </c>
      <c r="D35" s="170">
        <f>IFERROR(DATE(YEAR(B35),MONTH(B35),1)," ")</f>
        <v>43191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43245</v>
      </c>
      <c r="C36" s="27">
        <f>IF(B36&lt;&gt;"",IF(COUNT($A$33:A36)&lt;=$G$39,0,$G$41)+IF(COUNT($A$33:A36)&lt;=$G$40,0,$G$42),0)</f>
        <v>17250</v>
      </c>
      <c r="D36" s="170">
        <f>IFERROR(DATE(YEAR(B36),MONTH(B36),1)," ")</f>
        <v>43221</v>
      </c>
      <c r="F36" t="s">
        <v>160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43276</v>
      </c>
      <c r="C37" s="27">
        <f>IF(B37&lt;&gt;"",IF(COUNT($A$33:A37)&lt;=$G$39,0,$G$41)+IF(COUNT($A$33:A37)&lt;=$G$40,0,$G$42),0)</f>
        <v>17250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43306</v>
      </c>
      <c r="C38" s="27">
        <f>IF(B38&lt;&gt;"",IF(COUNT($A$33:A38)&lt;=$G$39,0,$G$41)+IF(COUNT($A$33:A38)&lt;=$G$40,0,$G$42),0)</f>
        <v>17250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43337</v>
      </c>
      <c r="C39" s="27">
        <f>IF(B39&lt;&gt;"",IF(COUNT($A$33:A39)&lt;=$G$39,0,$G$41)+IF(COUNT($A$33:A39)&lt;=$G$40,0,$G$42),0)</f>
        <v>17250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43368</v>
      </c>
      <c r="C40" s="27">
        <f>IF(B40&lt;&gt;"",IF(COUNT($A$33:A40)&lt;=$G$39,0,$G$41)+IF(COUNT($A$33:A40)&lt;=$G$40,0,$G$42),0)</f>
        <v>17250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43398</v>
      </c>
      <c r="C41" s="27">
        <f>IF(B41&lt;&gt;"",IF(COUNT($A$33:A41)&lt;=$G$39,0,$G$41)+IF(COUNT($A$33:A41)&lt;=$G$40,0,$G$42),0)</f>
        <v>17250</v>
      </c>
      <c r="D41" s="170">
        <f>IFERROR(DATE(YEAR(B41),MONTH(B41),1)," ")</f>
        <v>43374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43429</v>
      </c>
      <c r="C42" s="27">
        <f>IF(B42&lt;&gt;"",IF(COUNT($A$33:A42)&lt;=$G$39,0,$G$41)+IF(COUNT($A$33:A42)&lt;=$G$40,0,$G$42),0)</f>
        <v>17250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4750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43459</v>
      </c>
      <c r="C43" s="27">
        <f>IF(B43&lt;&gt;"",IF(COUNT($A$33:A43)&lt;=$G$39,0,$G$41)+IF(COUNT($A$33:A43)&lt;=$G$40,0,$G$42),0)</f>
        <v>17250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43490</v>
      </c>
      <c r="C44" s="27">
        <f>IF(B44&lt;&gt;"",IF(COUNT($A$33:A44)&lt;=$G$39,0,$G$41)+IF(COUNT($A$33:A44)&lt;=$G$40,0,$G$42),0)</f>
        <v>17250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309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128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95</v>
      </c>
      <c r="D78" s="133"/>
      <c r="E78" s="12" t="s">
        <v>350</v>
      </c>
      <c r="F78" s="12" t="s">
        <v>351</v>
      </c>
      <c r="G78" s="12" t="s">
        <v>110</v>
      </c>
      <c r="H78" s="12" t="s">
        <v>128</v>
      </c>
      <c r="I78" s="12" t="s">
        <v>352</v>
      </c>
      <c r="J78" s="70" t="s">
        <v>353</v>
      </c>
      <c r="K78" s="12" t="s">
        <v>309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93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