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<sst xmlns="http://schemas.openxmlformats.org/spreadsheetml/2006/main" uniqueCount="370">
  <si>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</si>
  <si>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</si>
  <si>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</si>
  <si>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</si>
  <si>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</si>
  <si>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</si>
  <si>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</si>
  <si>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</si>
  <si>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</si>
  <si>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</si>
  <si>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</si>
  <si>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</si>
  <si>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</si>
  <si>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</si>
  <si>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</si>
  <si>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</si>
  <si>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</si>
  <si>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</si>
  <si>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</si>
  <si>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</si>
  <si>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</si>
  <si>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</si>
  <si>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</si>
  <si>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</si>
  <si>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</si>
  <si>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</si>
  <si>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</si>
  <si>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</si>
  <si>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</si>
  <si>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</si>
  <si>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</si>
  <si>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</si>
  <si>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</si>
  <si>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</si>
  <si>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</si>
  <si>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</si>
  <si>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</si>
  <si>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</si>
  <si>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</si>
  <si>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</si>
  <si>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</si>
  <si>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</si>
  <si>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</si>
  <si>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</si>
  <si>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</si>
  <si>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</si>
  <si>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</si>
  <si>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</si>
  <si>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</si>
  <si>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</si>
  <si>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</si>
  <si>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</si>
  <si>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</si>
  <si>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</si>
  <si>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</si>
  <si>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</si>
  <si>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</si>
  <si>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</si>
  <si>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</si>
  <si>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</si>
  <si>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</si>
  <si>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</si>
  <si>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</si>
  <si>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</si>
  <si>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</si>
  <si>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</si>
  <si>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</si>
  <si>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</si>
  <si>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</si>
  <si>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</si>
  <si>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</si>
  <si>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</si>
  <si>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</si>
  <si>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</si>
  <si>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</si>
  <si>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</si>
  <si>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</si>
  <si>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</si>
  <si>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</si>
  <si>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</si>
  <si>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</si>
  <si>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</si>
  <si>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</si>
  <si>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</si>
  <si>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</si>
  <si>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</si>
  <si>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</si>
  <si>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</si>
  <si>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</si>
  <si>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</si>
  <si>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</si>
  <si>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</si>
  <si>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</si>
  <si>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</si>
  <si>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March</t>
  </si>
  <si>
    <t>Other crops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</si>
  <si>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</si>
  <si>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</si>
  <si>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</si>
  <si>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</si>
  <si>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</si>
  <si>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</si>
  <si>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</si>
  <si>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</si>
  <si>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</si>
  <si>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</si>
  <si>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</si>
  <si>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</si>
  <si>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</si>
  <si>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</si>
  <si>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</si>
  <si>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</si>
  <si>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</si>
  <si>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Sheep</t>
  </si>
  <si>
    <t>Never</t>
  </si>
  <si>
    <t>Other animals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</si>
  <si>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</si>
  <si>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</si>
  <si>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</si>
  <si>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</si>
  <si>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</si>
  <si>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Agrovet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</si>
  <si>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</si>
  <si>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</si>
  <si>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</si>
  <si>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</si>
  <si>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</si>
  <si>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</si>
  <si>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</si>
  <si>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supplies</t>
  </si>
  <si>
    <t>February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</si>
  <si>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</si>
  <si>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</si>
  <si>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</si>
  <si>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</si>
  <si>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</si>
  <si>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</si>
  <si>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</si>
  <si>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</si>
  <si>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</si>
  <si>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</si>
  <si>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</si>
  <si>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</si>
  <si>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</si>
  <si>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</si>
  <si>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</si>
  <si>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</si>
  <si>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</si>
  <si>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</si>
  <si>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</si>
  <si>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</si>
  <si>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1/1/2017</t>
  </si>
  <si>
    <t>Krep bank</t>
  </si>
  <si>
    <t>To be cleared in June after sell of maize. It was Agriculture loan.</t>
  </si>
  <si>
    <t>Mpesa &amp; bank cash flows (from past statements)</t>
  </si>
  <si>
    <t>Cash inflows</t>
  </si>
  <si>
    <t>Cash outflows</t>
  </si>
  <si>
    <t>January</t>
  </si>
  <si>
    <t>April</t>
  </si>
  <si>
    <t>May</t>
  </si>
  <si>
    <t>June</t>
  </si>
  <si>
    <t>Loan info</t>
  </si>
  <si>
    <t>Branch ID</t>
  </si>
  <si>
    <t>Submission date</t>
  </si>
  <si>
    <t>2018/1/25</t>
  </si>
  <si>
    <t>Loan terms</t>
  </si>
  <si>
    <t>Expected disbursement date</t>
  </si>
  <si>
    <t>Expected first repayment date</t>
  </si>
  <si>
    <t>2018/2/25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</si>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</sst>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Sheep, Chicken: sale of ex layers</v>
      </c>
    </row>
    <row r="8" spans="1:7">
      <c r="B8" s="1" t="s">
        <v>4</v>
      </c>
      <c r="C8" t="str">
        <f>IF(Inputs!B29="","None",Inputs!B29)</f>
        <v>Agrovet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0.5089615534239562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0.01662315462315462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53044.8717948718</v>
      </c>
    </row>
    <row r="17" spans="1:7">
      <c r="B17" s="1" t="s">
        <v>11</v>
      </c>
      <c r="C17" s="36">
        <f>SUM(Output!B6:M6)</f>
        <v>499211.314985038</v>
      </c>
    </row>
    <row r="18" spans="1:7">
      <c r="B18" s="1" t="s">
        <v>12</v>
      </c>
      <c r="C18" s="36">
        <f>MIN(Output!B6:M6)</f>
        <v>-377775.62861028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122478.123465317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</v>
      </c>
    </row>
    <row r="25" spans="1:7">
      <c r="B25" s="1" t="s">
        <v>18</v>
      </c>
      <c r="C25" s="36">
        <f>MAX(Inputs!A56:A60)</f>
        <v>30000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122478.123465317</v>
      </c>
      <c r="C6" s="51">
        <f>C30-C88</f>
        <v>-377775.62861028</v>
      </c>
      <c r="D6" s="51">
        <f>D30-D88</f>
        <v>43022.94281829149</v>
      </c>
      <c r="E6" s="51">
        <f>E30-E88</f>
        <v>66052.94281829149</v>
      </c>
      <c r="F6" s="51">
        <f>F30-F88</f>
        <v>66052.94281829149</v>
      </c>
      <c r="G6" s="51">
        <f>G30-G88</f>
        <v>63052.94281829149</v>
      </c>
      <c r="H6" s="51">
        <f>H30-H88</f>
        <v>66052.94281829149</v>
      </c>
      <c r="I6" s="51">
        <f>I30-I88</f>
        <v>66052.94281829149</v>
      </c>
      <c r="J6" s="51">
        <f>J30-J88</f>
        <v>50289.29420803243</v>
      </c>
      <c r="K6" s="51">
        <f>K30-K88</f>
        <v>105726.8727734513</v>
      </c>
      <c r="L6" s="51">
        <f>L30-L88</f>
        <v>111310.6230040732</v>
      </c>
      <c r="M6" s="51">
        <f>M30-M88</f>
        <v>116894.3732346951</v>
      </c>
      <c r="N6" s="51">
        <f>N30-N88</f>
        <v>122478.123465317</v>
      </c>
      <c r="O6" s="51">
        <f>O30-O88</f>
        <v>72224.37138972007</v>
      </c>
      <c r="P6" s="51">
        <f>P30-P88</f>
        <v>43022.94281829149</v>
      </c>
      <c r="Q6" s="51">
        <f>Q30-Q88</f>
        <v>66052.94281829149</v>
      </c>
      <c r="R6" s="51">
        <f>R30-R88</f>
        <v>66052.94281829149</v>
      </c>
      <c r="S6" s="51">
        <f>S30-S88</f>
        <v>63052.94281829149</v>
      </c>
      <c r="T6" s="51">
        <f>T30-T88</f>
        <v>66052.94281829149</v>
      </c>
      <c r="U6" s="51">
        <f>U30-U88</f>
        <v>66052.94281829149</v>
      </c>
      <c r="V6" s="51">
        <f>V30-V88</f>
        <v>50289.29420803243</v>
      </c>
      <c r="W6" s="51">
        <f>W30-W88</f>
        <v>105726.8727734513</v>
      </c>
      <c r="X6" s="51">
        <f>X30-X88</f>
        <v>111310.6230040732</v>
      </c>
      <c r="Y6" s="51">
        <f>Y30-Y88</f>
        <v>116894.3732346951</v>
      </c>
      <c r="Z6" s="51">
        <f>SUMIF($B$13:$Y$13,"Yes",B6:Y6)</f>
        <v>998148.5239315326</v>
      </c>
      <c r="AA6" s="51">
        <f>AA30-AA88</f>
        <v>499211.3149850387</v>
      </c>
      <c r="AB6" s="51">
        <f>AB30-AB88</f>
        <v>1448422.629970074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50000</v>
      </c>
      <c r="C7" s="80">
        <f>IF(ISERROR(VLOOKUP(MONTH(C5),Inputs!$D$66:$D$71,1,0)),"",INDEX(Inputs!$B$66:$B$71,MATCH(MONTH(Output!C5),Inputs!$D$66:$D$71,0))-INDEX(Inputs!$C$66:$C$71,MATCH(MONTH(Output!C5),Inputs!$D$66:$D$71,0)))</f>
        <v>20000</v>
      </c>
      <c r="D7" s="80">
        <f>IF(ISERROR(VLOOKUP(MONTH(D5),Inputs!$D$66:$D$71,1,0)),"",INDEX(Inputs!$B$66:$B$71,MATCH(MONTH(Output!D5),Inputs!$D$66:$D$71,0))-INDEX(Inputs!$C$66:$C$71,MATCH(MONTH(Output!D5),Inputs!$D$66:$D$71,0)))</f>
        <v>-50000</v>
      </c>
      <c r="E7" s="80">
        <f>IF(ISERROR(VLOOKUP(MONTH(E5),Inputs!$D$66:$D$71,1,0)),"",INDEX(Inputs!$B$66:$B$71,MATCH(MONTH(Output!E5),Inputs!$D$66:$D$71,0))-INDEX(Inputs!$C$66:$C$71,MATCH(MONTH(Output!E5),Inputs!$D$66:$D$71,0)))</f>
        <v>50000</v>
      </c>
      <c r="F7" s="80">
        <f>IF(ISERROR(VLOOKUP(MONTH(F5),Inputs!$D$66:$D$71,1,0)),"",INDEX(Inputs!$B$66:$B$71,MATCH(MONTH(Output!F5),Inputs!$D$66:$D$71,0))-INDEX(Inputs!$C$66:$C$71,MATCH(MONTH(Output!F5),Inputs!$D$66:$D$71,0)))</f>
        <v>30000</v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50000</v>
      </c>
      <c r="O7" s="80">
        <f>IF(ISERROR(VLOOKUP(MONTH(O5),Inputs!$D$66:$D$71,1,0)),"",INDEX(Inputs!$B$66:$B$71,MATCH(MONTH(Output!O5),Inputs!$D$66:$D$71,0))-INDEX(Inputs!$C$66:$C$71,MATCH(MONTH(Output!O5),Inputs!$D$66:$D$71,0)))</f>
        <v>20000</v>
      </c>
      <c r="P7" s="80">
        <f>IF(ISERROR(VLOOKUP(MONTH(P5),Inputs!$D$66:$D$71,1,0)),"",INDEX(Inputs!$B$66:$B$71,MATCH(MONTH(Output!P5),Inputs!$D$66:$D$71,0))-INDEX(Inputs!$C$66:$C$71,MATCH(MONTH(Output!P5),Inputs!$D$66:$D$71,0)))</f>
        <v>-50000</v>
      </c>
      <c r="Q7" s="80">
        <f>IF(ISERROR(VLOOKUP(MONTH(Q5),Inputs!$D$66:$D$71,1,0)),"",INDEX(Inputs!$B$66:$B$71,MATCH(MONTH(Output!Q5),Inputs!$D$66:$D$71,0))-INDEX(Inputs!$C$66:$C$71,MATCH(MONTH(Output!Q5),Inputs!$D$66:$D$71,0)))</f>
        <v>50000</v>
      </c>
      <c r="R7" s="80">
        <f>IF(ISERROR(VLOOKUP(MONTH(R5),Inputs!$D$66:$D$71,1,0)),"",INDEX(Inputs!$B$66:$B$71,MATCH(MONTH(Output!R5),Inputs!$D$66:$D$71,0))-INDEX(Inputs!$C$66:$C$71,MATCH(MONTH(Output!R5),Inputs!$D$66:$D$71,0)))</f>
        <v>30000</v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53044.8717948718</v>
      </c>
      <c r="I10" s="37">
        <f>SUMPRODUCT((Calculations!$D$33:$D$84=Output!I5)+0,Calculations!$C$33:$C$84)</f>
        <v>53044.8717948718</v>
      </c>
      <c r="J10" s="37">
        <f>SUMPRODUCT((Calculations!$D$33:$D$84=Output!J5)+0,Calculations!$C$33:$C$84)</f>
        <v>53044.8717948718</v>
      </c>
      <c r="K10" s="37">
        <f>SUMPRODUCT((Calculations!$D$33:$D$84=Output!K5)+0,Calculations!$C$33:$C$84)</f>
        <v>53044.8717948718</v>
      </c>
      <c r="L10" s="37">
        <f>SUMPRODUCT((Calculations!$D$33:$D$84=Output!L5)+0,Calculations!$C$33:$C$84)</f>
        <v>53044.8717948718</v>
      </c>
      <c r="M10" s="37">
        <f>SUMPRODUCT((Calculations!$D$33:$D$84=Output!M5)+0,Calculations!$C$33:$C$84)</f>
        <v>53044.8717948718</v>
      </c>
      <c r="N10" s="37">
        <f>SUMPRODUCT((Calculations!$D$33:$D$84=Output!N5)+0,Calculations!$C$33:$C$84)</f>
        <v>53044.8717948718</v>
      </c>
      <c r="O10" s="37">
        <f>SUMPRODUCT((Calculations!$D$33:$D$84=Output!O5)+0,Calculations!$C$33:$C$84)</f>
        <v>53044.8717948718</v>
      </c>
      <c r="P10" s="37">
        <f>SUMPRODUCT((Calculations!$D$33:$D$84=Output!P5)+0,Calculations!$C$33:$C$84)</f>
        <v>53044.8717948718</v>
      </c>
      <c r="Q10" s="37">
        <f>SUMPRODUCT((Calculations!$D$33:$D$84=Output!Q5)+0,Calculations!$C$33:$C$84)</f>
        <v>53044.8717948718</v>
      </c>
      <c r="R10" s="37">
        <f>SUMPRODUCT((Calculations!$D$33:$D$84=Output!R5)+0,Calculations!$C$33:$C$84)</f>
        <v>53044.8717948718</v>
      </c>
      <c r="S10" s="37">
        <f>SUMPRODUCT((Calculations!$D$33:$D$84=Output!S5)+0,Calculations!$C$33:$C$84)</f>
        <v>53044.8717948718</v>
      </c>
      <c r="T10" s="37">
        <f>SUMPRODUCT((Calculations!$D$33:$D$84=Output!T5)+0,Calculations!$C$33:$C$84)</f>
        <v>53044.8717948718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762499.9999999999</v>
      </c>
      <c r="AA10" s="37">
        <f>SUM(B10:M10)</f>
        <v>391185.8974358975</v>
      </c>
      <c r="AB10" s="37">
        <f>SUM(B10:Y10)</f>
        <v>762499.9999999999</v>
      </c>
    </row>
    <row r="11" spans="1:30" customHeight="1" ht="15.75">
      <c r="A11" s="43" t="s">
        <v>31</v>
      </c>
      <c r="B11" s="80">
        <f>B6+B9-B10</f>
        <v>622478.1234653171</v>
      </c>
      <c r="C11" s="80">
        <f>C6+C9-C10</f>
        <v>-392358.9619436133</v>
      </c>
      <c r="D11" s="80">
        <f>D6+D9-D10</f>
        <v>28439.60948495815</v>
      </c>
      <c r="E11" s="80">
        <f>E6+E9-E10</f>
        <v>51469.60948495815</v>
      </c>
      <c r="F11" s="80">
        <f>F6+F9-F10</f>
        <v>51469.60948495815</v>
      </c>
      <c r="G11" s="80">
        <f>G6+G9-G10</f>
        <v>48469.60948495815</v>
      </c>
      <c r="H11" s="80">
        <f>H6+H9-H10</f>
        <v>13008.07102341969</v>
      </c>
      <c r="I11" s="80">
        <f>I6+I9-I10</f>
        <v>13008.07102341969</v>
      </c>
      <c r="J11" s="80">
        <f>J6+J9-J10</f>
        <v>-2755.577586839368</v>
      </c>
      <c r="K11" s="80">
        <f>K6+K9-K10</f>
        <v>52682.00097857953</v>
      </c>
      <c r="L11" s="80">
        <f>L6+L9-L10</f>
        <v>58265.75120920142</v>
      </c>
      <c r="M11" s="80">
        <f>M6+M9-M10</f>
        <v>63849.50143982332</v>
      </c>
      <c r="N11" s="80">
        <f>N6+N9-N10</f>
        <v>69433.25167044521</v>
      </c>
      <c r="O11" s="80">
        <f>O6+O9-O10</f>
        <v>19179.49959484827</v>
      </c>
      <c r="P11" s="80">
        <f>P6+P9-P10</f>
        <v>-10021.92897658031</v>
      </c>
      <c r="Q11" s="80">
        <f>Q6+Q9-Q10</f>
        <v>13008.07102341969</v>
      </c>
      <c r="R11" s="80">
        <f>R6+R9-R10</f>
        <v>13008.07102341969</v>
      </c>
      <c r="S11" s="80">
        <f>S6+S9-S10</f>
        <v>10008.07102341969</v>
      </c>
      <c r="T11" s="80">
        <f>T6+T9-T10</f>
        <v>13008.07102341969</v>
      </c>
      <c r="U11" s="80">
        <f>U6+U9-U10</f>
        <v>66052.94281829149</v>
      </c>
      <c r="V11" s="80">
        <f>V6+V9-V10</f>
        <v>50289.29420803243</v>
      </c>
      <c r="W11" s="80">
        <f>W6+W9-W10</f>
        <v>105726.8727734513</v>
      </c>
      <c r="X11" s="80">
        <f>X6+X9-X10</f>
        <v>111310.6230040732</v>
      </c>
      <c r="Y11" s="80">
        <f>Y6+Y9-Y10</f>
        <v>116894.3732346951</v>
      </c>
      <c r="Z11" s="85">
        <f>SUMIF($B$13:$Y$13,"Yes",B11:Y11)</f>
        <v>735648.5239315327</v>
      </c>
      <c r="AA11" s="80">
        <f>SUM(B11:M11)</f>
        <v>608025.4175491406</v>
      </c>
      <c r="AB11" s="46">
        <f>SUM(B11:Y11)</f>
        <v>1185922.629970076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0.05959617756236026</v>
      </c>
      <c r="D12" s="82">
        <f>IF(D13="Yes",IF(SUM($B$10:D10)/(SUM($B$6:D6)+SUM($B$9:D9))&lt;0,999.99,SUM($B$10:D10)/(SUM($B$6:D6)+SUM($B$9:D9))),"")</f>
        <v>0.1013697881651371</v>
      </c>
      <c r="E12" s="82">
        <f>IF(E13="Yes",IF(SUM($B$10:E10)/(SUM($B$6:E6)+SUM($B$9:E9))&lt;0,999.99,SUM($B$10:E10)/(SUM($B$6:E6)+SUM($B$9:E9))),"")</f>
        <v>0.1236649903230486</v>
      </c>
      <c r="F12" s="82">
        <f>IF(F13="Yes",IF(SUM($B$10:F10)/(SUM($B$6:F6)+SUM($B$9:F9))&lt;0,999.99,SUM($B$10:F10)/(SUM($B$6:F6)+SUM($B$9:F9))),"")</f>
        <v>0.1389446906282235</v>
      </c>
      <c r="G12" s="82">
        <f>IF(G13="Yes",IF(SUM($B$10:G10)/(SUM($B$6:G6)+SUM($B$9:G9))&lt;0,999.99,SUM($B$10:G10)/(SUM($B$6:G6)+SUM($B$9:G9))),"")</f>
        <v>0.1510023659526478</v>
      </c>
      <c r="H12" s="82">
        <f>IF(H13="Yes",IF(SUM($B$10:H10)/(SUM($B$6:H6)+SUM($B$9:H9))&lt;0,999.99,SUM($B$10:H10)/(SUM($B$6:H6)+SUM($B$9:H9))),"")</f>
        <v>0.2294643839197574</v>
      </c>
      <c r="I12" s="82">
        <f>IF(I13="Yes",IF(SUM($B$10:I10)/(SUM($B$6:I6)+SUM($B$9:I9))&lt;0,999.99,SUM($B$10:I10)/(SUM($B$6:I6)+SUM($B$9:I9))),"")</f>
        <v>0.2910719947998037</v>
      </c>
      <c r="J12" s="82">
        <f>IF(J13="Yes",IF(SUM($B$10:J10)/(SUM($B$6:J6)+SUM($B$9:J9))&lt;0,999.99,SUM($B$10:J10)/(SUM($B$6:J6)+SUM($B$9:J9))),"")</f>
        <v>0.3488027226092343</v>
      </c>
      <c r="K12" s="82">
        <f>IF(K13="Yes",IF(SUM($B$10:K10)/(SUM($B$6:K6)+SUM($B$9:K9))&lt;0,999.99,SUM($B$10:K10)/(SUM($B$6:K6)+SUM($B$9:K9))),"")</f>
        <v>0.3697714881374093</v>
      </c>
      <c r="L12" s="82">
        <f>IF(L13="Yes",IF(SUM($B$10:L10)/(SUM($B$6:L6)+SUM($B$9:L9))&lt;0,999.99,SUM($B$10:L10)/(SUM($B$6:L6)+SUM($B$9:L9))),"")</f>
        <v>0.3832421317562151</v>
      </c>
      <c r="M12" s="82">
        <f>IF(M13="Yes",IF(SUM($B$10:M10)/(SUM($B$6:M6)+SUM($B$9:M9))&lt;0,999.99,SUM($B$10:M10)/(SUM($B$6:M6)+SUM($B$9:M9))),"")</f>
        <v>0.3914946634103668</v>
      </c>
      <c r="N12" s="82">
        <f>IF(N13="Yes",IF(SUM($B$10:N10)/(SUM($B$6:N6)+SUM($B$9:N9))&lt;0,999.99,SUM($B$10:N10)/(SUM($B$6:N6)+SUM($B$9:N9))),"")</f>
        <v>0.3960372220714553</v>
      </c>
      <c r="O12" s="82">
        <f>IF(O13="Yes",IF(SUM($B$10:O10)/(SUM($B$6:O6)+SUM($B$9:O9))&lt;0,999.99,SUM($B$10:O10)/(SUM($B$6:O6)+SUM($B$9:O9))),"")</f>
        <v>0.4165088274607119</v>
      </c>
      <c r="P12" s="82">
        <f>IF(P13="Yes",IF(SUM($B$10:P10)/(SUM($B$6:P6)+SUM($B$9:P9))&lt;0,999.99,SUM($B$10:P10)/(SUM($B$6:P6)+SUM($B$9:P9))),"")</f>
        <v>0.44490594336193</v>
      </c>
      <c r="Q12" s="82">
        <f>IF(Q13="Yes",IF(SUM($B$10:Q10)/(SUM($B$6:Q6)+SUM($B$9:Q9))&lt;0,999.99,SUM($B$10:Q10)/(SUM($B$6:Q6)+SUM($B$9:Q9))),"")</f>
        <v>0.4630622841531085</v>
      </c>
      <c r="R12" s="82">
        <f>IF(R13="Yes",IF(SUM($B$10:R10)/(SUM($B$6:R6)+SUM($B$9:R9))&lt;0,999.99,SUM($B$10:R10)/(SUM($B$6:R6)+SUM($B$9:R9))),"")</f>
        <v>0.4794666272978693</v>
      </c>
      <c r="S12" s="82">
        <f>IF(S13="Yes",IF(SUM($B$10:S10)/(SUM($B$6:S6)+SUM($B$9:S9))&lt;0,999.99,SUM($B$10:S10)/(SUM($B$6:S6)+SUM($B$9:S9))),"")</f>
        <v>0.4953964927771318</v>
      </c>
      <c r="T12" s="82">
        <f>IF(T13="Yes",IF(SUM($B$10:T10)/(SUM($B$6:T6)+SUM($B$9:T9))&lt;0,999.99,SUM($B$10:T10)/(SUM($B$6:T6)+SUM($B$9:T9))),"")</f>
        <v>0.5089615534239562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50253.75207559692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27918.7511531094</v>
      </c>
      <c r="K18" s="36">
        <f>W18</f>
        <v>33502.50138373128</v>
      </c>
      <c r="L18" s="36">
        <f>X18</f>
        <v>39086.25161435315</v>
      </c>
      <c r="M18" s="36">
        <f>Y18</f>
        <v>44670.00184497504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50253.75207559692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27918.7511531094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33502.50138373128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39086.25161435315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44670.00184497504</v>
      </c>
      <c r="Z18" s="36">
        <f>SUMIF($B$13:$Y$13,"Yes",B18:Y18)</f>
        <v>245685.0101473627</v>
      </c>
      <c r="AA18" s="36">
        <f>SUM(B18:M18)</f>
        <v>195431.2580717658</v>
      </c>
      <c r="AB18" s="36">
        <f>SUM(B18:Y18)</f>
        <v>390862.5161435316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74400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36500</v>
      </c>
      <c r="C24" s="36">
        <f>IFERROR(Calculations!$P14/12,"")</f>
        <v>36500</v>
      </c>
      <c r="D24" s="36">
        <f>IFERROR(Calculations!$P14/12,"")</f>
        <v>36500</v>
      </c>
      <c r="E24" s="36">
        <f>IFERROR(Calculations!$P14/12,"")</f>
        <v>36500</v>
      </c>
      <c r="F24" s="36">
        <f>IFERROR(Calculations!$P14/12,"")</f>
        <v>36500</v>
      </c>
      <c r="G24" s="36">
        <f>IFERROR(Calculations!$P14/12,"")</f>
        <v>36500</v>
      </c>
      <c r="H24" s="36">
        <f>IFERROR(Calculations!$P14/12,"")</f>
        <v>36500</v>
      </c>
      <c r="I24" s="36">
        <f>IFERROR(Calculations!$P14/12,"")</f>
        <v>36500</v>
      </c>
      <c r="J24" s="36">
        <f>IFERROR(Calculations!$P14/12,"")</f>
        <v>36500</v>
      </c>
      <c r="K24" s="36">
        <f>IFERROR(Calculations!$P14/12,"")</f>
        <v>36500</v>
      </c>
      <c r="L24" s="36">
        <f>IFERROR(Calculations!$P14/12,"")</f>
        <v>36500</v>
      </c>
      <c r="M24" s="36">
        <f>IFERROR(Calculations!$P14/12,"")</f>
        <v>36500</v>
      </c>
      <c r="N24" s="36">
        <f>IFERROR(Calculations!$P14/12,"")</f>
        <v>36500</v>
      </c>
      <c r="O24" s="36">
        <f>IFERROR(Calculations!$P14/12,"")</f>
        <v>36500</v>
      </c>
      <c r="P24" s="36">
        <f>IFERROR(Calculations!$P14/12,"")</f>
        <v>36500</v>
      </c>
      <c r="Q24" s="36">
        <f>IFERROR(Calculations!$P14/12,"")</f>
        <v>36500</v>
      </c>
      <c r="R24" s="36">
        <f>IFERROR(Calculations!$P14/12,"")</f>
        <v>36500</v>
      </c>
      <c r="S24" s="36">
        <f>IFERROR(Calculations!$P14/12,"")</f>
        <v>36500</v>
      </c>
      <c r="T24" s="36">
        <f>IFERROR(Calculations!$P14/12,"")</f>
        <v>36500</v>
      </c>
      <c r="U24" s="36">
        <f>IFERROR(Calculations!$P14/12,"")</f>
        <v>36500</v>
      </c>
      <c r="V24" s="36">
        <f>IFERROR(Calculations!$P14/12,"")</f>
        <v>36500</v>
      </c>
      <c r="W24" s="36">
        <f>IFERROR(Calculations!$P14/12,"")</f>
        <v>36500</v>
      </c>
      <c r="X24" s="36">
        <f>IFERROR(Calculations!$P14/12,"")</f>
        <v>36500</v>
      </c>
      <c r="Y24" s="36">
        <f>IFERROR(Calculations!$P14/12,"")</f>
        <v>36500</v>
      </c>
      <c r="Z24" s="36">
        <f>SUMIF($B$13:$Y$13,"Yes",B24:Y24)</f>
        <v>693500</v>
      </c>
      <c r="AA24" s="36">
        <f>SUM(B24:M24)</f>
        <v>438000</v>
      </c>
      <c r="AB24" s="46">
        <f>SUM(B24:Y24)</f>
        <v>876000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1250</v>
      </c>
      <c r="C25" s="36">
        <f>IFERROR(Calculations!$P15/12,"")</f>
        <v>1250</v>
      </c>
      <c r="D25" s="36">
        <f>IFERROR(Calculations!$P15/12,"")</f>
        <v>1250</v>
      </c>
      <c r="E25" s="36">
        <f>IFERROR(Calculations!$P15/12,"")</f>
        <v>1250</v>
      </c>
      <c r="F25" s="36">
        <f>IFERROR(Calculations!$P15/12,"")</f>
        <v>1250</v>
      </c>
      <c r="G25" s="36">
        <f>IFERROR(Calculations!$P15/12,"")</f>
        <v>1250</v>
      </c>
      <c r="H25" s="36">
        <f>IFERROR(Calculations!$P15/12,"")</f>
        <v>1250</v>
      </c>
      <c r="I25" s="36">
        <f>IFERROR(Calculations!$P15/12,"")</f>
        <v>1250</v>
      </c>
      <c r="J25" s="36">
        <f>IFERROR(Calculations!$P15/12,"")</f>
        <v>1250</v>
      </c>
      <c r="K25" s="36">
        <f>IFERROR(Calculations!$P15/12,"")</f>
        <v>1250</v>
      </c>
      <c r="L25" s="36">
        <f>IFERROR(Calculations!$P15/12,"")</f>
        <v>1250</v>
      </c>
      <c r="M25" s="36">
        <f>IFERROR(Calculations!$P15/12,"")</f>
        <v>1250</v>
      </c>
      <c r="N25" s="36">
        <f>IFERROR(Calculations!$P15/12,"")</f>
        <v>1250</v>
      </c>
      <c r="O25" s="36">
        <f>IFERROR(Calculations!$P15/12,"")</f>
        <v>1250</v>
      </c>
      <c r="P25" s="36">
        <f>IFERROR(Calculations!$P15/12,"")</f>
        <v>1250</v>
      </c>
      <c r="Q25" s="36">
        <f>IFERROR(Calculations!$P15/12,"")</f>
        <v>1250</v>
      </c>
      <c r="R25" s="36">
        <f>IFERROR(Calculations!$P15/12,"")</f>
        <v>1250</v>
      </c>
      <c r="S25" s="36">
        <f>IFERROR(Calculations!$P15/12,"")</f>
        <v>1250</v>
      </c>
      <c r="T25" s="36">
        <f>IFERROR(Calculations!$P15/12,"")</f>
        <v>1250</v>
      </c>
      <c r="U25" s="36">
        <f>IFERROR(Calculations!$P15/12,"")</f>
        <v>1250</v>
      </c>
      <c r="V25" s="36">
        <f>IFERROR(Calculations!$P15/12,"")</f>
        <v>1250</v>
      </c>
      <c r="W25" s="36">
        <f>IFERROR(Calculations!$P15/12,"")</f>
        <v>1250</v>
      </c>
      <c r="X25" s="36">
        <f>IFERROR(Calculations!$P15/12,"")</f>
        <v>1250</v>
      </c>
      <c r="Y25" s="36">
        <f>IFERROR(Calculations!$P15/12,"")</f>
        <v>1250</v>
      </c>
      <c r="Z25" s="36">
        <f>SUMIF($B$13:$Y$13,"Yes",B25:Y25)</f>
        <v>23750</v>
      </c>
      <c r="AA25" s="36">
        <f>SUM(B25:M25)</f>
        <v>15000</v>
      </c>
      <c r="AB25" s="46">
        <f>SUM(B25:Y25)</f>
        <v>30000</v>
      </c>
    </row>
    <row r="26" spans="1:30">
      <c r="A26" s="43">
        <f>IF(Inputs!A21="","",IF(Inputs!A21=Parameters!$A$30,Inputs!B21,Inputs!A21))</f>
        <v/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350000</v>
      </c>
      <c r="C29" s="37">
        <f>Inputs!$B$30</f>
        <v>350000</v>
      </c>
      <c r="D29" s="37">
        <f>Inputs!$B$30</f>
        <v>350000</v>
      </c>
      <c r="E29" s="37">
        <f>Inputs!$B$30</f>
        <v>350000</v>
      </c>
      <c r="F29" s="37">
        <f>Inputs!$B$30</f>
        <v>350000</v>
      </c>
      <c r="G29" s="37">
        <f>Inputs!$B$30</f>
        <v>350000</v>
      </c>
      <c r="H29" s="37">
        <f>Inputs!$B$30</f>
        <v>350000</v>
      </c>
      <c r="I29" s="37">
        <f>Inputs!$B$30</f>
        <v>350000</v>
      </c>
      <c r="J29" s="37">
        <f>Inputs!$B$30</f>
        <v>350000</v>
      </c>
      <c r="K29" s="37">
        <f>Inputs!$B$30</f>
        <v>350000</v>
      </c>
      <c r="L29" s="37">
        <f>Inputs!$B$30</f>
        <v>350000</v>
      </c>
      <c r="M29" s="37">
        <f>Inputs!$B$30</f>
        <v>350000</v>
      </c>
      <c r="N29" s="37">
        <f>Inputs!$B$30</f>
        <v>350000</v>
      </c>
      <c r="O29" s="37">
        <f>Inputs!$B$30</f>
        <v>350000</v>
      </c>
      <c r="P29" s="37">
        <f>Inputs!$B$30</f>
        <v>350000</v>
      </c>
      <c r="Q29" s="37">
        <f>Inputs!$B$30</f>
        <v>350000</v>
      </c>
      <c r="R29" s="37">
        <f>Inputs!$B$30</f>
        <v>350000</v>
      </c>
      <c r="S29" s="37">
        <f>Inputs!$B$30</f>
        <v>350000</v>
      </c>
      <c r="T29" s="37">
        <f>Inputs!$B$30</f>
        <v>350000</v>
      </c>
      <c r="U29" s="37">
        <f>Inputs!$B$30</f>
        <v>350000</v>
      </c>
      <c r="V29" s="37">
        <f>Inputs!$B$30</f>
        <v>350000</v>
      </c>
      <c r="W29" s="37">
        <f>Inputs!$B$30</f>
        <v>350000</v>
      </c>
      <c r="X29" s="37">
        <f>Inputs!$B$30</f>
        <v>350000</v>
      </c>
      <c r="Y29" s="37">
        <f>Inputs!$B$30</f>
        <v>350000</v>
      </c>
      <c r="Z29" s="37">
        <f>SUMIF($B$13:$Y$13,"Yes",B29:Y29)</f>
        <v>6650000</v>
      </c>
      <c r="AA29" s="37">
        <f>SUM(B29:M29)</f>
        <v>4200000</v>
      </c>
      <c r="AB29" s="37">
        <f>SUM(B29:Y29)</f>
        <v>8400000</v>
      </c>
    </row>
    <row r="30" spans="1:30" customHeight="1" ht="15.75">
      <c r="A30" s="1" t="s">
        <v>37</v>
      </c>
      <c r="B30" s="19">
        <f>SUM(B18:B29)</f>
        <v>438003.7520755969</v>
      </c>
      <c r="C30" s="19">
        <f>SUM(C18:C29)</f>
        <v>387750</v>
      </c>
      <c r="D30" s="19">
        <f>SUM(D18:D29)</f>
        <v>387750</v>
      </c>
      <c r="E30" s="19">
        <f>SUM(E18:E29)</f>
        <v>387750</v>
      </c>
      <c r="F30" s="19">
        <f>SUM(F18:F29)</f>
        <v>387750</v>
      </c>
      <c r="G30" s="19">
        <f>SUM(G18:G29)</f>
        <v>387750</v>
      </c>
      <c r="H30" s="19">
        <f>SUM(H18:H29)</f>
        <v>387750</v>
      </c>
      <c r="I30" s="19">
        <f>SUM(I18:I29)</f>
        <v>387750</v>
      </c>
      <c r="J30" s="19">
        <f>SUM(J18:J29)</f>
        <v>415668.7511531094</v>
      </c>
      <c r="K30" s="19">
        <f>SUM(K18:K29)</f>
        <v>421252.5013837313</v>
      </c>
      <c r="L30" s="19">
        <f>SUM(L18:L29)</f>
        <v>426836.2516143532</v>
      </c>
      <c r="M30" s="19">
        <f>SUM(M18:M29)</f>
        <v>432420.001844975</v>
      </c>
      <c r="N30" s="19">
        <f>SUM(N18:N29)</f>
        <v>438003.7520755969</v>
      </c>
      <c r="O30" s="19">
        <f>SUM(O18:O29)</f>
        <v>387750</v>
      </c>
      <c r="P30" s="19">
        <f>SUM(P18:P29)</f>
        <v>387750</v>
      </c>
      <c r="Q30" s="19">
        <f>SUM(Q18:Q29)</f>
        <v>387750</v>
      </c>
      <c r="R30" s="19">
        <f>SUM(R18:R29)</f>
        <v>387750</v>
      </c>
      <c r="S30" s="19">
        <f>SUM(S18:S29)</f>
        <v>387750</v>
      </c>
      <c r="T30" s="19">
        <f>SUM(T18:T29)</f>
        <v>387750</v>
      </c>
      <c r="U30" s="19">
        <f>SUM(U18:U29)</f>
        <v>387750</v>
      </c>
      <c r="V30" s="19">
        <f>SUM(V18:V29)</f>
        <v>415668.7511531094</v>
      </c>
      <c r="W30" s="19">
        <f>SUM(W18:W29)</f>
        <v>421252.5013837313</v>
      </c>
      <c r="X30" s="19">
        <f>SUM(X18:X29)</f>
        <v>426836.2516143532</v>
      </c>
      <c r="Y30" s="19">
        <f>SUM(Y18:Y29)</f>
        <v>432420.001844975</v>
      </c>
      <c r="Z30" s="19">
        <f>SUMIF($B$13:$Y$13,"Yes",B30:Y30)</f>
        <v>7612935.010147363</v>
      </c>
      <c r="AA30" s="19">
        <f>SUM(B30:M30)</f>
        <v>4848431.258071766</v>
      </c>
      <c r="AB30" s="19">
        <f>SUM(B30:Y30)</f>
        <v>9696862.516143531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20000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3030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3030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6060.000000000001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3030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3030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3000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3000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43682.39976336844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43682.39976336844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43682.39976336844</v>
      </c>
      <c r="AA54" s="46">
        <f>SUM(B54:M54)</f>
        <v>43682.39976336844</v>
      </c>
      <c r="AB54" s="46">
        <f>SUM(B54:Y54)</f>
        <v>87364.79952673688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43682.39976336844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43682.39976336844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43682.39976336844</v>
      </c>
      <c r="AA55" s="46">
        <f>SUM(B55:M55)</f>
        <v>43682.39976336844</v>
      </c>
      <c r="AB55" s="46">
        <f>SUM(B55:Y55)</f>
        <v>87364.79952673688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6171.428571428572</v>
      </c>
      <c r="E66" s="36">
        <f>Q66</f>
        <v>6171.428571428572</v>
      </c>
      <c r="F66" s="36">
        <f>R66</f>
        <v>6171.428571428572</v>
      </c>
      <c r="G66" s="36">
        <f>S66</f>
        <v>6171.428571428572</v>
      </c>
      <c r="H66" s="36">
        <f>T66</f>
        <v>6171.428571428572</v>
      </c>
      <c r="I66" s="36">
        <f>U66</f>
        <v>6171.428571428572</v>
      </c>
      <c r="J66" s="36">
        <f>V66</f>
        <v>6171.428571428572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6171.428571428572</v>
      </c>
      <c r="Q66" s="46">
        <f>SUM(Q67:Q71)</f>
        <v>6171.428571428572</v>
      </c>
      <c r="R66" s="46">
        <f>SUM(R67:R71)</f>
        <v>6171.428571428572</v>
      </c>
      <c r="S66" s="46">
        <f>SUM(S67:S71)</f>
        <v>6171.428571428572</v>
      </c>
      <c r="T66" s="46">
        <f>SUM(T67:T71)</f>
        <v>6171.428571428572</v>
      </c>
      <c r="U66" s="46">
        <f>SUM(U67:U71)</f>
        <v>6171.428571428572</v>
      </c>
      <c r="V66" s="46">
        <f>SUM(V67:V71)</f>
        <v>6171.428571428572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74057.14285714286</v>
      </c>
      <c r="AA66" s="46">
        <f>SUM(B66:M66)</f>
        <v>43200</v>
      </c>
      <c r="AB66" s="46">
        <f>SUM(B66:Y66)</f>
        <v>86399.99999999999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6171.428571428572</v>
      </c>
      <c r="E67" s="36">
        <f>Q67</f>
        <v>6171.428571428572</v>
      </c>
      <c r="F67" s="36">
        <f>R67</f>
        <v>6171.428571428572</v>
      </c>
      <c r="G67" s="36">
        <f>S67</f>
        <v>6171.428571428572</v>
      </c>
      <c r="H67" s="36">
        <f>T67</f>
        <v>6171.428571428572</v>
      </c>
      <c r="I67" s="36">
        <f>U67</f>
        <v>6171.428571428572</v>
      </c>
      <c r="J67" s="36">
        <f>V67</f>
        <v>6171.428571428572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6171.428571428572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6171.428571428572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6171.428571428572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6171.428571428572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6171.428571428572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6171.428571428572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6171.428571428572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74057.14285714286</v>
      </c>
      <c r="AA67" s="46">
        <f>SUM(B67:M67)</f>
        <v>43200</v>
      </c>
      <c r="AB67" s="46">
        <f>SUM(B67:Y67)</f>
        <v>86399.99999999999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173375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566.6666666666666</v>
      </c>
      <c r="C75" s="46">
        <f>SUM(Calculations!$R$14:$R$16)/12</f>
        <v>566.6666666666666</v>
      </c>
      <c r="D75" s="46">
        <f>SUM(Calculations!$R$14:$R$16)/12</f>
        <v>566.6666666666666</v>
      </c>
      <c r="E75" s="46">
        <f>SUM(Calculations!$R$14:$R$16)/12</f>
        <v>566.6666666666666</v>
      </c>
      <c r="F75" s="46">
        <f>SUM(Calculations!$R$14:$R$16)/12</f>
        <v>566.6666666666666</v>
      </c>
      <c r="G75" s="46">
        <f>SUM(Calculations!$R$14:$R$16)/12</f>
        <v>566.6666666666666</v>
      </c>
      <c r="H75" s="46">
        <f>SUM(Calculations!$R$14:$R$16)/12</f>
        <v>566.6666666666666</v>
      </c>
      <c r="I75" s="46">
        <f>SUM(Calculations!$R$14:$R$16)/12</f>
        <v>566.6666666666666</v>
      </c>
      <c r="J75" s="46">
        <f>SUM(Calculations!$R$14:$R$16)/12</f>
        <v>566.6666666666666</v>
      </c>
      <c r="K75" s="46">
        <f>SUM(Calculations!$R$14:$R$16)/12</f>
        <v>566.6666666666666</v>
      </c>
      <c r="L75" s="46">
        <f>SUM(Calculations!$R$14:$R$16)/12</f>
        <v>566.6666666666666</v>
      </c>
      <c r="M75" s="46">
        <f>SUM(Calculations!$R$14:$R$16)/12</f>
        <v>566.6666666666666</v>
      </c>
      <c r="N75" s="46">
        <f>SUM(Calculations!$R$14:$R$16)/12</f>
        <v>566.6666666666666</v>
      </c>
      <c r="O75" s="46">
        <f>SUM(Calculations!$R$14:$R$16)/12</f>
        <v>566.6666666666666</v>
      </c>
      <c r="P75" s="46">
        <f>SUM(Calculations!$R$14:$R$16)/12</f>
        <v>566.6666666666666</v>
      </c>
      <c r="Q75" s="46">
        <f>SUM(Calculations!$R$14:$R$16)/12</f>
        <v>566.6666666666666</v>
      </c>
      <c r="R75" s="46">
        <f>SUM(Calculations!$R$14:$R$16)/12</f>
        <v>566.6666666666666</v>
      </c>
      <c r="S75" s="46">
        <f>SUM(Calculations!$R$14:$R$16)/12</f>
        <v>566.6666666666666</v>
      </c>
      <c r="T75" s="46">
        <f>SUM(Calculations!$R$14:$R$16)/12</f>
        <v>566.6666666666666</v>
      </c>
      <c r="U75" s="46">
        <f>SUM(Calculations!$R$14:$R$16)/12</f>
        <v>566.6666666666666</v>
      </c>
      <c r="V75" s="46">
        <f>SUM(Calculations!$R$14:$R$16)/12</f>
        <v>566.6666666666666</v>
      </c>
      <c r="W75" s="46">
        <f>SUM(Calculations!$R$14:$R$16)/12</f>
        <v>566.6666666666666</v>
      </c>
      <c r="X75" s="46">
        <f>SUM(Calculations!$R$14:$R$16)/12</f>
        <v>566.6666666666666</v>
      </c>
      <c r="Y75" s="46">
        <f>SUM(Calculations!$R$14:$R$16)/12</f>
        <v>566.6666666666666</v>
      </c>
      <c r="Z75" s="46">
        <f>SUMIF($B$13:$Y$13,"Yes",B75:Y75)</f>
        <v>10766.66666666667</v>
      </c>
      <c r="AA75" s="46">
        <f>SUM(B75:M75)</f>
        <v>6800.000000000001</v>
      </c>
      <c r="AB75" s="46">
        <f>SUM(B75:Y75)</f>
        <v>13600</v>
      </c>
    </row>
    <row r="76" spans="1:30">
      <c r="A76" s="16" t="s">
        <v>48</v>
      </c>
      <c r="B76" s="46">
        <f>SUM(Calculations!$S$14:$S$16)/12</f>
        <v>3100</v>
      </c>
      <c r="C76" s="46">
        <f>SUM(Calculations!$S$14:$S$16)/12</f>
        <v>3100</v>
      </c>
      <c r="D76" s="46">
        <f>SUM(Calculations!$S$14:$S$16)/12</f>
        <v>3100</v>
      </c>
      <c r="E76" s="46">
        <f>SUM(Calculations!$S$14:$S$16)/12</f>
        <v>3100</v>
      </c>
      <c r="F76" s="46">
        <f>SUM(Calculations!$S$14:$S$16)/12</f>
        <v>3100</v>
      </c>
      <c r="G76" s="46">
        <f>SUM(Calculations!$S$14:$S$16)/12</f>
        <v>3100</v>
      </c>
      <c r="H76" s="46">
        <f>SUM(Calculations!$S$14:$S$16)/12</f>
        <v>3100</v>
      </c>
      <c r="I76" s="46">
        <f>SUM(Calculations!$S$14:$S$16)/12</f>
        <v>3100</v>
      </c>
      <c r="J76" s="46">
        <f>SUM(Calculations!$S$14:$S$16)/12</f>
        <v>3100</v>
      </c>
      <c r="K76" s="46">
        <f>SUM(Calculations!$S$14:$S$16)/12</f>
        <v>3100</v>
      </c>
      <c r="L76" s="46">
        <f>SUM(Calculations!$S$14:$S$16)/12</f>
        <v>3100</v>
      </c>
      <c r="M76" s="46">
        <f>SUM(Calculations!$S$14:$S$16)/12</f>
        <v>3100</v>
      </c>
      <c r="N76" s="46">
        <f>SUM(Calculations!$S$14:$S$16)/12</f>
        <v>3100</v>
      </c>
      <c r="O76" s="46">
        <f>SUM(Calculations!$S$14:$S$16)/12</f>
        <v>3100</v>
      </c>
      <c r="P76" s="46">
        <f>SUM(Calculations!$S$14:$S$16)/12</f>
        <v>3100</v>
      </c>
      <c r="Q76" s="46">
        <f>SUM(Calculations!$S$14:$S$16)/12</f>
        <v>3100</v>
      </c>
      <c r="R76" s="46">
        <f>SUM(Calculations!$S$14:$S$16)/12</f>
        <v>3100</v>
      </c>
      <c r="S76" s="46">
        <f>SUM(Calculations!$S$14:$S$16)/12</f>
        <v>3100</v>
      </c>
      <c r="T76" s="46">
        <f>SUM(Calculations!$S$14:$S$16)/12</f>
        <v>3100</v>
      </c>
      <c r="U76" s="46">
        <f>SUM(Calculations!$S$14:$S$16)/12</f>
        <v>3100</v>
      </c>
      <c r="V76" s="46">
        <f>SUM(Calculations!$S$14:$S$16)/12</f>
        <v>3100</v>
      </c>
      <c r="W76" s="46">
        <f>SUM(Calculations!$S$14:$S$16)/12</f>
        <v>3100</v>
      </c>
      <c r="X76" s="46">
        <f>SUM(Calculations!$S$14:$S$16)/12</f>
        <v>3100</v>
      </c>
      <c r="Y76" s="46">
        <f>SUM(Calculations!$S$14:$S$16)/12</f>
        <v>3100</v>
      </c>
      <c r="Z76" s="46">
        <f>SUMIF($B$13:$Y$13,"Yes",B76:Y76)</f>
        <v>58900</v>
      </c>
      <c r="AA76" s="46">
        <f>SUM(B76:M76)</f>
        <v>37200</v>
      </c>
      <c r="AB76" s="46">
        <f>SUM(B76:Y76)</f>
        <v>74400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250000</v>
      </c>
      <c r="C79" s="46">
        <f>Inputs!$B$31</f>
        <v>250000</v>
      </c>
      <c r="D79" s="46">
        <f>Inputs!$B$31</f>
        <v>250000</v>
      </c>
      <c r="E79" s="46">
        <f>Inputs!$B$31</f>
        <v>250000</v>
      </c>
      <c r="F79" s="46">
        <f>Inputs!$B$31</f>
        <v>250000</v>
      </c>
      <c r="G79" s="46">
        <f>Inputs!$B$31</f>
        <v>250000</v>
      </c>
      <c r="H79" s="46">
        <f>Inputs!$B$31</f>
        <v>250000</v>
      </c>
      <c r="I79" s="46">
        <f>Inputs!$B$31</f>
        <v>250000</v>
      </c>
      <c r="J79" s="46">
        <f>Inputs!$B$31</f>
        <v>250000</v>
      </c>
      <c r="K79" s="46">
        <f>Inputs!$B$31</f>
        <v>250000</v>
      </c>
      <c r="L79" s="46">
        <f>Inputs!$B$31</f>
        <v>250000</v>
      </c>
      <c r="M79" s="46">
        <f>Inputs!$B$31</f>
        <v>250000</v>
      </c>
      <c r="N79" s="46">
        <f>Inputs!$B$31</f>
        <v>250000</v>
      </c>
      <c r="O79" s="46">
        <f>Inputs!$B$31</f>
        <v>250000</v>
      </c>
      <c r="P79" s="46">
        <f>Inputs!$B$31</f>
        <v>250000</v>
      </c>
      <c r="Q79" s="46">
        <f>Inputs!$B$31</f>
        <v>250000</v>
      </c>
      <c r="R79" s="46">
        <f>Inputs!$B$31</f>
        <v>250000</v>
      </c>
      <c r="S79" s="46">
        <f>Inputs!$B$31</f>
        <v>250000</v>
      </c>
      <c r="T79" s="46">
        <f>Inputs!$B$31</f>
        <v>250000</v>
      </c>
      <c r="U79" s="46">
        <f>Inputs!$B$31</f>
        <v>250000</v>
      </c>
      <c r="V79" s="46">
        <f>Inputs!$B$31</f>
        <v>250000</v>
      </c>
      <c r="W79" s="46">
        <f>Inputs!$B$31</f>
        <v>250000</v>
      </c>
      <c r="X79" s="46">
        <f>Inputs!$B$31</f>
        <v>250000</v>
      </c>
      <c r="Y79" s="46">
        <f>Inputs!$B$31</f>
        <v>250000</v>
      </c>
      <c r="Z79" s="46">
        <f>SUMIF($B$13:$Y$13,"Yes",B79:Y79)</f>
        <v>4750000</v>
      </c>
      <c r="AA79" s="46">
        <f>SUM(B79:M79)</f>
        <v>3000000</v>
      </c>
      <c r="AB79" s="46">
        <f>SUM(B79:Y79)</f>
        <v>6000000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450000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450000</v>
      </c>
      <c r="AA80" s="46">
        <f>SUM(B80:M80)</f>
        <v>450000</v>
      </c>
      <c r="AB80" s="46">
        <f>SUM(B80:Y80)</f>
        <v>450000</v>
      </c>
    </row>
    <row r="81" spans="1:30">
      <c r="A81" s="43" t="s">
        <v>51</v>
      </c>
      <c r="B81" s="46">
        <f>(SUM($AA$18:$AA$29)-SUM($AA$36,$AA$42,$AA$48,$AA$54,$AA$60,$AA$66,$AA$72:$AA$79))*Parameters!$B$37/12</f>
        <v>52733.96194361323</v>
      </c>
      <c r="C81" s="46">
        <f>(SUM($AA$18:$AA$29)-SUM($AA$36,$AA$42,$AA$48,$AA$54,$AA$60,$AA$66,$AA$72:$AA$79))*Parameters!$B$37/12</f>
        <v>52733.96194361323</v>
      </c>
      <c r="D81" s="46">
        <f>(SUM($AA$18:$AA$29)-SUM($AA$36,$AA$42,$AA$48,$AA$54,$AA$60,$AA$66,$AA$72:$AA$79))*Parameters!$B$37/12</f>
        <v>52733.96194361323</v>
      </c>
      <c r="E81" s="46">
        <f>(SUM($AA$18:$AA$29)-SUM($AA$36,$AA$42,$AA$48,$AA$54,$AA$60,$AA$66,$AA$72:$AA$79))*Parameters!$B$37/12</f>
        <v>52733.96194361323</v>
      </c>
      <c r="F81" s="46">
        <f>(SUM($AA$18:$AA$29)-SUM($AA$36,$AA$42,$AA$48,$AA$54,$AA$60,$AA$66,$AA$72:$AA$79))*Parameters!$B$37/12</f>
        <v>52733.96194361323</v>
      </c>
      <c r="G81" s="46">
        <f>(SUM($AA$18:$AA$29)-SUM($AA$36,$AA$42,$AA$48,$AA$54,$AA$60,$AA$66,$AA$72:$AA$79))*Parameters!$B$37/12</f>
        <v>52733.96194361323</v>
      </c>
      <c r="H81" s="46">
        <f>(SUM($AA$18:$AA$29)-SUM($AA$36,$AA$42,$AA$48,$AA$54,$AA$60,$AA$66,$AA$72:$AA$79))*Parameters!$B$37/12</f>
        <v>52733.96194361323</v>
      </c>
      <c r="I81" s="46">
        <f>(SUM($AA$18:$AA$29)-SUM($AA$36,$AA$42,$AA$48,$AA$54,$AA$60,$AA$66,$AA$72:$AA$79))*Parameters!$B$37/12</f>
        <v>52733.96194361323</v>
      </c>
      <c r="J81" s="46">
        <f>(SUM($AA$18:$AA$29)-SUM($AA$36,$AA$42,$AA$48,$AA$54,$AA$60,$AA$66,$AA$72:$AA$79))*Parameters!$B$37/12</f>
        <v>52733.96194361323</v>
      </c>
      <c r="K81" s="46">
        <f>(SUM($AA$18:$AA$29)-SUM($AA$36,$AA$42,$AA$48,$AA$54,$AA$60,$AA$66,$AA$72:$AA$79))*Parameters!$B$37/12</f>
        <v>52733.96194361323</v>
      </c>
      <c r="L81" s="46">
        <f>(SUM($AA$18:$AA$29)-SUM($AA$36,$AA$42,$AA$48,$AA$54,$AA$60,$AA$66,$AA$72:$AA$79))*Parameters!$B$37/12</f>
        <v>52733.96194361323</v>
      </c>
      <c r="M81" s="46">
        <f>(SUM($AA$18:$AA$29)-SUM($AA$36,$AA$42,$AA$48,$AA$54,$AA$60,$AA$66,$AA$72:$AA$79))*Parameters!$B$37/12</f>
        <v>52733.96194361323</v>
      </c>
      <c r="N81" s="46">
        <f>(SUM($AA$18:$AA$29)-SUM($AA$36,$AA$42,$AA$48,$AA$54,$AA$60,$AA$66,$AA$72:$AA$79))*Parameters!$B$37/12</f>
        <v>52733.96194361323</v>
      </c>
      <c r="O81" s="46">
        <f>(SUM($AA$18:$AA$29)-SUM($AA$36,$AA$42,$AA$48,$AA$54,$AA$60,$AA$66,$AA$72:$AA$79))*Parameters!$B$37/12</f>
        <v>52733.96194361323</v>
      </c>
      <c r="P81" s="46">
        <f>(SUM($AA$18:$AA$29)-SUM($AA$36,$AA$42,$AA$48,$AA$54,$AA$60,$AA$66,$AA$72:$AA$79))*Parameters!$B$37/12</f>
        <v>52733.96194361323</v>
      </c>
      <c r="Q81" s="46">
        <f>(SUM($AA$18:$AA$29)-SUM($AA$36,$AA$42,$AA$48,$AA$54,$AA$60,$AA$66,$AA$72:$AA$79))*Parameters!$B$37/12</f>
        <v>52733.96194361323</v>
      </c>
      <c r="R81" s="46">
        <f>(SUM($AA$18:$AA$29)-SUM($AA$36,$AA$42,$AA$48,$AA$54,$AA$60,$AA$66,$AA$72:$AA$79))*Parameters!$B$37/12</f>
        <v>52733.96194361323</v>
      </c>
      <c r="S81" s="46">
        <f>(SUM($AA$18:$AA$29)-SUM($AA$36,$AA$42,$AA$48,$AA$54,$AA$60,$AA$66,$AA$72:$AA$79))*Parameters!$B$37/12</f>
        <v>52733.96194361323</v>
      </c>
      <c r="T81" s="46">
        <f>(SUM($AA$18:$AA$29)-SUM($AA$36,$AA$42,$AA$48,$AA$54,$AA$60,$AA$66,$AA$72:$AA$79))*Parameters!$B$37/12</f>
        <v>52733.96194361323</v>
      </c>
      <c r="U81" s="46">
        <f>(SUM($AA$18:$AA$29)-SUM($AA$36,$AA$42,$AA$48,$AA$54,$AA$60,$AA$66,$AA$72:$AA$79))*Parameters!$B$37/12</f>
        <v>52733.96194361323</v>
      </c>
      <c r="V81" s="46">
        <f>(SUM($AA$18:$AA$29)-SUM($AA$36,$AA$42,$AA$48,$AA$54,$AA$60,$AA$66,$AA$72:$AA$79))*Parameters!$B$37/12</f>
        <v>52733.96194361323</v>
      </c>
      <c r="W81" s="46">
        <f>(SUM($AA$18:$AA$29)-SUM($AA$36,$AA$42,$AA$48,$AA$54,$AA$60,$AA$66,$AA$72:$AA$79))*Parameters!$B$37/12</f>
        <v>52733.96194361323</v>
      </c>
      <c r="X81" s="46">
        <f>(SUM($AA$18:$AA$29)-SUM($AA$36,$AA$42,$AA$48,$AA$54,$AA$60,$AA$66,$AA$72:$AA$79))*Parameters!$B$37/12</f>
        <v>52733.96194361323</v>
      </c>
      <c r="Y81" s="46">
        <f>(SUM($AA$18:$AA$29)-SUM($AA$36,$AA$42,$AA$48,$AA$54,$AA$60,$AA$66,$AA$72:$AA$79))*Parameters!$B$37/12</f>
        <v>52733.96194361323</v>
      </c>
      <c r="Z81" s="46">
        <f>SUMIF($B$13:$Y$13,"Yes",B81:Y81)</f>
        <v>1001945.276928652</v>
      </c>
      <c r="AA81" s="46">
        <f>SUM(B81:M81)</f>
        <v>632807.5433233589</v>
      </c>
      <c r="AB81" s="46">
        <f>SUM(B81:Y81)</f>
        <v>1265615.086646717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315525.6286102799</v>
      </c>
      <c r="C88" s="19">
        <f>SUM(C72:C82,C66,C60,C54,C48,C42,C36)</f>
        <v>765525.62861028</v>
      </c>
      <c r="D88" s="19">
        <f>SUM(D72:D82,D66,D60,D54,D48,D42,D36)</f>
        <v>344727.0571817085</v>
      </c>
      <c r="E88" s="19">
        <f>SUM(E72:E82,E66,E60,E54,E48,E42,E36)</f>
        <v>321697.0571817085</v>
      </c>
      <c r="F88" s="19">
        <f>SUM(F72:F82,F66,F60,F54,F48,F42,F36)</f>
        <v>321697.0571817085</v>
      </c>
      <c r="G88" s="19">
        <f>SUM(G72:G82,G66,G60,G54,G48,G42,G36)</f>
        <v>324697.0571817085</v>
      </c>
      <c r="H88" s="19">
        <f>SUM(H72:H82,H66,H60,H54,H48,H42,H36)</f>
        <v>321697.0571817085</v>
      </c>
      <c r="I88" s="19">
        <f>SUM(I72:I82,I66,I60,I54,I48,I42,I36)</f>
        <v>321697.0571817085</v>
      </c>
      <c r="J88" s="19">
        <f>SUM(J72:J82,J66,J60,J54,J48,J42,J36)</f>
        <v>365379.4569450769</v>
      </c>
      <c r="K88" s="19">
        <f>SUM(K72:K82,K66,K60,K54,K48,K42,K36)</f>
        <v>315525.6286102799</v>
      </c>
      <c r="L88" s="19">
        <f>SUM(L72:L82,L66,L60,L54,L48,L42,L36)</f>
        <v>315525.6286102799</v>
      </c>
      <c r="M88" s="19">
        <f>SUM(M72:M82,M66,M60,M54,M48,M42,M36)</f>
        <v>315525.6286102799</v>
      </c>
      <c r="N88" s="19">
        <f>SUM(N72:N82,N66,N60,N54,N48,N42,N36)</f>
        <v>315525.6286102799</v>
      </c>
      <c r="O88" s="19">
        <f>SUM(O72:O82,O66,O60,O54,O48,O42,O36)</f>
        <v>315525.6286102799</v>
      </c>
      <c r="P88" s="19">
        <f>SUM(P72:P82,P66,P60,P54,P48,P42,P36)</f>
        <v>344727.0571817085</v>
      </c>
      <c r="Q88" s="19">
        <f>SUM(Q72:Q82,Q66,Q60,Q54,Q48,Q42,Q36)</f>
        <v>321697.0571817085</v>
      </c>
      <c r="R88" s="19">
        <f>SUM(R72:R82,R66,R60,R54,R48,R42,R36)</f>
        <v>321697.0571817085</v>
      </c>
      <c r="S88" s="19">
        <f>SUM(S72:S82,S66,S60,S54,S48,S42,S36)</f>
        <v>324697.0571817085</v>
      </c>
      <c r="T88" s="19">
        <f>SUM(T72:T82,T66,T60,T54,T48,T42,T36)</f>
        <v>321697.0571817085</v>
      </c>
      <c r="U88" s="19">
        <f>SUM(U72:U82,U66,U60,U54,U48,U42,U36)</f>
        <v>321697.0571817085</v>
      </c>
      <c r="V88" s="19">
        <f>SUM(V72:V82,V66,V60,V54,V48,V42,V36)</f>
        <v>365379.4569450769</v>
      </c>
      <c r="W88" s="19">
        <f>SUM(W72:W82,W66,W60,W54,W48,W42,W36)</f>
        <v>315525.6286102799</v>
      </c>
      <c r="X88" s="19">
        <f>SUM(X72:X82,X66,X60,X54,X48,X42,X36)</f>
        <v>315525.6286102799</v>
      </c>
      <c r="Y88" s="19">
        <f>SUM(Y72:Y82,Y66,Y60,Y54,Y48,Y42,Y36)</f>
        <v>315525.6286102799</v>
      </c>
      <c r="Z88" s="19">
        <f>SUMIF($B$13:$Y$13,"Yes",B88:Y88)</f>
        <v>6614786.486215831</v>
      </c>
      <c r="AA88" s="19">
        <f>SUM(B88:M88)</f>
        <v>4349219.943086728</v>
      </c>
      <c r="AB88" s="19">
        <f>SUM(B88:Y88)</f>
        <v>8248439.886173457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58000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1248000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36000000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8000000</v>
      </c>
    </row>
    <row r="101" spans="1:30" customHeight="1" ht="15.75">
      <c r="A101" s="1" t="s">
        <v>67</v>
      </c>
      <c r="B101" s="19">
        <f>SUM(B94:B100)</f>
        <v>48906000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310472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812972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4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70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6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 t="s">
        <v>113</v>
      </c>
      <c r="B20" s="16"/>
      <c r="C20" s="143">
        <v>4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115</v>
      </c>
      <c r="B21" s="23"/>
      <c r="C21" s="144">
        <v>12</v>
      </c>
      <c r="D21" s="150">
        <v>0</v>
      </c>
      <c r="E21" s="23"/>
      <c r="F21" s="150" t="s">
        <v>92</v>
      </c>
      <c r="G21" s="23"/>
      <c r="H21" s="23"/>
      <c r="I21" s="150" t="s">
        <v>116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40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350000</v>
      </c>
    </row>
    <row r="31" spans="1:48">
      <c r="A31" s="5" t="s">
        <v>123</v>
      </c>
      <c r="B31" s="158">
        <v>250000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 t="s">
        <v>129</v>
      </c>
      <c r="B35" s="159">
        <v>450000</v>
      </c>
      <c r="C35" s="145" t="s">
        <v>130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2500000</v>
      </c>
    </row>
    <row r="46" spans="1:48" customHeight="1" ht="30">
      <c r="A46" s="57" t="s">
        <v>139</v>
      </c>
      <c r="B46" s="161">
        <v>450000</v>
      </c>
    </row>
    <row r="47" spans="1:48" customHeight="1" ht="30">
      <c r="A47" s="57" t="s">
        <v>140</v>
      </c>
      <c r="B47" s="161">
        <v>650000</v>
      </c>
    </row>
    <row r="48" spans="1:48" customHeight="1" ht="30">
      <c r="A48" s="57" t="s">
        <v>141</v>
      </c>
      <c r="B48" s="161">
        <v>8000000</v>
      </c>
    </row>
    <row r="49" spans="1:48" customHeight="1" ht="30">
      <c r="A49" s="57" t="s">
        <v>142</v>
      </c>
      <c r="B49" s="161">
        <v>58000</v>
      </c>
    </row>
    <row r="50" spans="1:48">
      <c r="A50" s="43"/>
      <c r="B50" s="36"/>
    </row>
    <row r="51" spans="1:48">
      <c r="A51" s="58" t="s">
        <v>143</v>
      </c>
      <c r="B51" s="161">
        <v>2500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30000</v>
      </c>
      <c r="B56" s="159">
        <v>310472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155</v>
      </c>
      <c r="C65" s="10" t="s">
        <v>156</v>
      </c>
    </row>
    <row r="66" spans="1:48">
      <c r="A66" s="142" t="s">
        <v>157</v>
      </c>
      <c r="B66" s="159">
        <v>650000</v>
      </c>
      <c r="C66" s="163">
        <v>600000</v>
      </c>
      <c r="D66" s="49">
        <f>INDEX(Parameters!$D$79:$D$90,MATCH(Inputs!A66,Parameters!$C$79:$C$90,0))</f>
        <v>1</v>
      </c>
    </row>
    <row r="67" spans="1:48">
      <c r="A67" s="143" t="s">
        <v>130</v>
      </c>
      <c r="B67" s="157">
        <v>550000</v>
      </c>
      <c r="C67" s="165">
        <v>530000</v>
      </c>
      <c r="D67" s="49">
        <f>INDEX(Parameters!$D$79:$D$90,MATCH(Inputs!A67,Parameters!$C$79:$C$90,0))</f>
        <v>2</v>
      </c>
    </row>
    <row r="68" spans="1:48">
      <c r="A68" s="143" t="s">
        <v>94</v>
      </c>
      <c r="B68" s="157">
        <v>600000</v>
      </c>
      <c r="C68" s="165">
        <v>650000</v>
      </c>
      <c r="D68" s="49">
        <f>INDEX(Parameters!$D$79:$D$90,MATCH(Inputs!A68,Parameters!$C$79:$C$90,0))</f>
        <v>3</v>
      </c>
    </row>
    <row r="69" spans="1:48">
      <c r="A69" s="143" t="s">
        <v>158</v>
      </c>
      <c r="B69" s="157">
        <v>700000</v>
      </c>
      <c r="C69" s="165">
        <v>650000</v>
      </c>
      <c r="D69" s="49">
        <f>INDEX(Parameters!$D$79:$D$90,MATCH(Inputs!A69,Parameters!$C$79:$C$90,0))</f>
        <v>4</v>
      </c>
    </row>
    <row r="70" spans="1:48">
      <c r="A70" s="143" t="s">
        <v>159</v>
      </c>
      <c r="B70" s="157">
        <v>450000</v>
      </c>
      <c r="C70" s="165">
        <v>420000</v>
      </c>
      <c r="D70" s="49">
        <f>INDEX(Parameters!$D$79:$D$90,MATCH(Inputs!A70,Parameters!$C$79:$C$90,0))</f>
        <v>5</v>
      </c>
    </row>
    <row r="71" spans="1:48">
      <c r="A71" s="144" t="s">
        <v>160</v>
      </c>
      <c r="B71" s="158">
        <v>380000</v>
      </c>
      <c r="C71" s="167">
        <v>360000</v>
      </c>
      <c r="D71" s="49">
        <f>INDEX(Parameters!$D$79:$D$90,MATCH(Inputs!A71,Parameters!$C$79:$C$90,0))</f>
        <v>6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20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500000</v>
      </c>
    </row>
    <row r="82" spans="1:48">
      <c r="A82" t="s">
        <v>170</v>
      </c>
      <c r="B82" s="161">
        <v>35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18</v>
      </c>
    </row>
    <row r="86" spans="1:48">
      <c r="A86" t="s">
        <v>175</v>
      </c>
      <c r="B86" s="161">
        <v>5</v>
      </c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43344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43344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9496.173861601836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139593.755765547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21841.19988168422</v>
      </c>
      <c r="AB4" s="33">
        <f>H4*IFERROR(INDEX(Parameters!$A$3:$AI$17,MATCH(Calculations!A4,Parameters!$A$3:$A$17,0),MATCH(Parameters!$O$3,Parameters!$A$3:$AI$3,0)),AVERAGE(Parameters!$O$4:$O$17))*(1-Inputs!$B$25/100)</f>
        <v>36000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0.7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0.7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438000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</v>
      </c>
      <c r="S15" s="64">
        <f>IFERROR(D15*INDEX(Parameters!$A$22:$P$29,MATCH(Calculations!$A15,Parameters!$A$22:$A$29,0),MATCH(Parameters!$N$22,Parameters!$A$22:$P$22,0)),"")</f>
        <v>1200</v>
      </c>
    </row>
    <row r="16" spans="1:52">
      <c r="A16" s="16" t="str">
        <f>Inputs!A21</f>
        <v>Other animals</v>
      </c>
      <c r="B16" s="16" t="str">
        <f>IFERROR(VLOOKUP(A16,Parameters!$A$23:$B$30,2,0),"")</f>
        <v>meat</v>
      </c>
      <c r="C16" s="16">
        <f>IF(Inputs!A21=Parameters!$A$30,Inputs!B21,A16&amp;": "&amp;B16)</f>
        <v>0</v>
      </c>
      <c r="D16" s="16">
        <f>Inputs!C21</f>
        <v>12</v>
      </c>
      <c r="E16" s="16">
        <f>Inputs!D21</f>
        <v>0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 t="str">
        <f>IFERROR(INDEX(Parameters!$A$41:$C$48,MATCH(Calculations!A16,Parameters!$A$41:$A$48,0),MATCH(Inputs!F21,Parameters!$A$41:$C$41,0)),0)</f>
        <v/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Other animals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</v>
      </c>
      <c r="E17" s="23"/>
      <c r="F17" s="6" t="str">
        <f>IFERROR(INDEX(Parameters!$A$22:$P$29,MATCH(Calculations!$A17,Parameters!$A$22:$A$29,0),MATCH(Parameters!$P$22,Parameters!$A$22:$P$22,0)),"")</f>
        <v/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30000</v>
      </c>
      <c r="B23" s="75">
        <f>SUM(C23:D23)</f>
        <v>-21080.23136246786</v>
      </c>
      <c r="C23" s="75">
        <f>IF(Inputs!B56&gt;0,(Inputs!A56-Inputs!B56)/(DATE(YEAR(Inputs!$B$76),MONTH(Inputs!$B$76),DAY(Inputs!$B$76))-DATE(YEAR(Inputs!C56),MONTH(Inputs!C56),DAY(Inputs!C56)))*30,0)</f>
        <v>-21630.23136246786</v>
      </c>
      <c r="D23" s="75">
        <f>IF(Inputs!B56&gt;0,Inputs!A56*0.22/12,0)</f>
        <v>550</v>
      </c>
      <c r="E23" s="75">
        <f>IFERROR(ROUNDUP(Inputs!B56/C23,0),0)</f>
        <v>-15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43156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43132</v>
      </c>
      <c r="F33" t="s">
        <v>166</v>
      </c>
      <c r="G33" s="128">
        <f>IF(Inputs!B79="","",DATE(YEAR(Inputs!B79),MONTH(Inputs!B79),DAY(Inputs!B79)))</f>
        <v>43125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43184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43160</v>
      </c>
      <c r="F34" t="s">
        <v>167</v>
      </c>
      <c r="G34" s="128">
        <f>IF(Inputs!B80="","",DATE(YEAR(Inputs!B80),MONTH(Inputs!B80),DAY(Inputs!B80)))</f>
        <v>43156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43215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43191</v>
      </c>
      <c r="F35" t="s">
        <v>169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43245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43221</v>
      </c>
      <c r="F36" t="s">
        <v>170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43276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43252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43306</v>
      </c>
      <c r="C38" s="27">
        <f>IF(B38&lt;&gt;"",IF(COUNT($A$33:A38)&lt;=$G$39,0,$G$41)+IF(COUNT($A$33:A38)&lt;=$G$40,0,$G$42),0)</f>
        <v>53044.8717948718</v>
      </c>
      <c r="D38" s="170">
        <f>IFERROR(DATE(YEAR(B38),MONTH(B38),1)," ")</f>
        <v>43282</v>
      </c>
      <c r="F38" t="s">
        <v>232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43337</v>
      </c>
      <c r="C39" s="27">
        <f>IF(B39&lt;&gt;"",IF(COUNT($A$33:A39)&lt;=$G$39,0,$G$41)+IF(COUNT($A$33:A39)&lt;=$G$40,0,$G$42),0)</f>
        <v>53044.8717948718</v>
      </c>
      <c r="D39" s="170">
        <f>IFERROR(DATE(YEAR(B39),MONTH(B39),1)," ")</f>
        <v>43313</v>
      </c>
      <c r="F39" t="s">
        <v>175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43368</v>
      </c>
      <c r="C40" s="27">
        <f>IF(B40&lt;&gt;"",IF(COUNT($A$33:A40)&lt;=$G$39,0,$G$41)+IF(COUNT($A$33:A40)&lt;=$G$40,0,$G$42),0)</f>
        <v>53044.8717948718</v>
      </c>
      <c r="D40" s="170">
        <f>IFERROR(DATE(YEAR(B40),MONTH(B40),1)," ")</f>
        <v>43344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43398</v>
      </c>
      <c r="C41" s="27">
        <f>IF(B41&lt;&gt;"",IF(COUNT($A$33:A41)&lt;=$G$39,0,$G$41)+IF(COUNT($A$33:A41)&lt;=$G$40,0,$G$42),0)</f>
        <v>53044.8717948718</v>
      </c>
      <c r="D41" s="170">
        <f>IFERROR(DATE(YEAR(B41),MONTH(B41),1)," ")</f>
        <v>43374</v>
      </c>
      <c r="F41" t="s">
        <v>233</v>
      </c>
      <c r="G41" s="73">
        <f>IFERROR(G35/(G38-G39),"")</f>
        <v>38461.53846153846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43429</v>
      </c>
      <c r="C42" s="27">
        <f>IF(B42&lt;&gt;"",IF(COUNT($A$33:A42)&lt;=$G$39,0,$G$41)+IF(COUNT($A$33:A42)&lt;=$G$40,0,$G$42),0)</f>
        <v>53044.8717948718</v>
      </c>
      <c r="D42" s="170">
        <f>IFERROR(DATE(YEAR(B42),MONTH(B42),1)," ")</f>
        <v>43405</v>
      </c>
      <c r="F42" t="s">
        <v>234</v>
      </c>
      <c r="G42" s="73">
        <f>IFERROR(G35*G36*IF(G37="Monthly",G38/12,IF(G37="Fortnightly",G38/(365/14),G38/(365/28)))/(G38-G40),"")</f>
        <v>14583.33333333333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43459</v>
      </c>
      <c r="C43" s="27">
        <f>IF(B43&lt;&gt;"",IF(COUNT($A$33:A43)&lt;=$G$39,0,$G$41)+IF(COUNT($A$33:A43)&lt;=$G$40,0,$G$42),0)</f>
        <v>53044.8717948718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43490</v>
      </c>
      <c r="C44" s="27">
        <f>IF(B44&lt;&gt;"",IF(COUNT($A$33:A44)&lt;=$G$39,0,$G$41)+IF(COUNT($A$33:A44)&lt;=$G$40,0,$G$42),0)</f>
        <v>53044.8717948718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43521</v>
      </c>
      <c r="C45" s="27">
        <f>IF(B45&lt;&gt;"",IF(COUNT($A$33:A45)&lt;=$G$39,0,$G$41)+IF(COUNT($A$33:A45)&lt;=$G$40,0,$G$42),0)</f>
        <v>53044.8717948718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43549</v>
      </c>
      <c r="C46" s="27">
        <f>IF(B46&lt;&gt;"",IF(COUNT($A$33:A46)&lt;=$G$39,0,$G$41)+IF(COUNT($A$33:A46)&lt;=$G$40,0,$G$42),0)</f>
        <v>53044.8717948718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43580</v>
      </c>
      <c r="C47" s="27">
        <f>IF(B47&lt;&gt;"",IF(COUNT($A$33:A47)&lt;=$G$39,0,$G$41)+IF(COUNT($A$33:A47)&lt;=$G$40,0,$G$42),0)</f>
        <v>53044.8717948718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43610</v>
      </c>
      <c r="C48" s="27">
        <f>IF(B48&lt;&gt;"",IF(COUNT($A$33:A48)&lt;=$G$39,0,$G$41)+IF(COUNT($A$33:A48)&lt;=$G$40,0,$G$42),0)</f>
        <v>53044.8717948718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43641</v>
      </c>
      <c r="C49" s="27">
        <f>IF(B49&lt;&gt;"",IF(COUNT($A$33:A49)&lt;=$G$39,0,$G$41)+IF(COUNT($A$33:A49)&lt;=$G$40,0,$G$42),0)</f>
        <v>53044.8717948718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43671</v>
      </c>
      <c r="C50" s="27">
        <f>IF(B50&lt;&gt;"",IF(COUNT($A$33:A50)&lt;=$G$39,0,$G$41)+IF(COUNT($A$33:A50)&lt;=$G$40,0,$G$42),0)</f>
        <v>53044.8717948718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115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136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235</v>
      </c>
      <c r="E53" s="10" t="s">
        <v>194</v>
      </c>
      <c r="F53" s="10" t="s">
        <v>254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172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231</v>
      </c>
      <c r="J76" s="11" t="s">
        <v>351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114</v>
      </c>
      <c r="H77" s="12" t="s">
        <v>318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116</v>
      </c>
      <c r="H78" s="12" t="s">
        <v>136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360</v>
      </c>
      <c r="F79" s="12" t="s">
        <v>361</v>
      </c>
      <c r="G79" s="12" t="s">
        <v>112</v>
      </c>
      <c r="I79" s="12" t="s">
        <v>172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130</v>
      </c>
      <c r="D80" s="12">
        <f>D79+1</f>
        <v>2</v>
      </c>
      <c r="E80" s="12" t="s">
        <v>91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158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