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<sst xmlns="http://schemas.openxmlformats.org/spreadsheetml/2006/main" uniqueCount="372">
  <si>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</si>
  <si>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</si>
  <si>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</si>
  <si>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</si>
  <si>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</si>
  <si>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</si>
  <si>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</si>
  <si>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</si>
  <si>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</si>
  <si>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</si>
  <si>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</si>
  <si>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</si>
  <si>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</si>
  <si>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</si>
  <si>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</si>
  <si>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</si>
  <si>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</si>
  <si>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</si>
  <si>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</si>
  <si>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</si>
  <si>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</si>
  <si>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</si>
  <si>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</si>
  <si>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</si>
  <si>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</si>
  <si>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</si>
  <si>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</si>
  <si>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</si>
  <si>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</si>
  <si>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</si>
  <si>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</si>
  <si>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</si>
  <si>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</si>
  <si>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</si>
  <si>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</si>
  <si>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</si>
  <si>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</si>
  <si>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</si>
  <si>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</si>
  <si>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</si>
  <si>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</si>
  <si>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</si>
  <si>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</si>
  <si>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</si>
  <si>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</si>
  <si>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</si>
  <si>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</si>
  <si>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</si>
  <si>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</si>
  <si>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</si>
  <si>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</si>
  <si>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</si>
  <si>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</si>
  <si>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</si>
  <si>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</si>
  <si>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</si>
  <si>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</si>
  <si>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</si>
  <si>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</si>
  <si>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</si>
  <si>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</si>
  <si>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</si>
  <si>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</si>
  <si>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</si>
  <si>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</si>
  <si>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</si>
  <si>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</si>
  <si>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</si>
  <si>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</si>
  <si>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</si>
  <si>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</si>
  <si>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</si>
  <si>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</si>
  <si>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</si>
  <si>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</si>
  <si>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</si>
  <si>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</si>
  <si>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</si>
  <si>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</si>
  <si>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</si>
  <si>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</si>
  <si>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</si>
  <si>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</si>
  <si>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</si>
  <si>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</si>
  <si>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</si>
  <si>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</si>
  <si>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</si>
  <si>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</si>
  <si>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</si>
  <si>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</si>
  <si>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</si>
  <si>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</si>
  <si>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</si>
  <si>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February</t>
  </si>
  <si>
    <t>Coffee</t>
  </si>
  <si>
    <t>Shop_common variety</t>
  </si>
  <si>
    <t>Yes without the use of a pump</t>
  </si>
  <si>
    <t>every month</t>
  </si>
  <si>
    <t>Other crops</t>
  </si>
  <si>
    <t>NGO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</si>
  <si>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</si>
  <si>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</si>
  <si>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</si>
  <si>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</si>
  <si>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</si>
  <si>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</si>
  <si>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</si>
  <si>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</si>
  <si>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</si>
  <si>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</si>
  <si>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</si>
  <si>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</si>
  <si>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</si>
  <si>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</si>
  <si>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</si>
  <si>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</si>
  <si>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</si>
  <si>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</si>
  <si>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 and selling used bottles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</si>
  <si>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</si>
  <si>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</si>
  <si>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</si>
  <si>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</si>
  <si>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</si>
  <si>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</si>
  <si>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</si>
  <si>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</si>
  <si>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</si>
  <si>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</si>
  <si>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</si>
  <si>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</si>
  <si>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</si>
  <si>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</si>
  <si>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</si>
  <si>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</si>
  <si>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</si>
  <si>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</si>
  <si>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</si>
  <si>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</si>
  <si>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</si>
  <si>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</si>
  <si>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</si>
  <si>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</si>
  <si>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</si>
  <si>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</si>
  <si>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</si>
  <si>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9/11/2015</t>
  </si>
  <si>
    <t>mobile branch</t>
  </si>
  <si>
    <t>178 days arrears</t>
  </si>
  <si>
    <t>10/6/2016</t>
  </si>
  <si>
    <t>branch</t>
  </si>
  <si>
    <t>147 days arrears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</si>
  <si>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</si>
  <si>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</si>
  <si>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</si>
  <si>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</si>
  <si>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</si>
  <si>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</si>
  <si>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</si>
  <si>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</si>
  <si>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</si>
  <si>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</si>
  <si>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</si>
  <si>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</si>
  <si>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2018/1/26</t>
  </si>
  <si>
    <t>Loan terms</t>
  </si>
  <si>
    <t>Expected disbursement date</t>
  </si>
  <si>
    <t>Expected first repayment date</t>
  </si>
  <si>
    <t>2018/2/26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</si>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</sst>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Coffee,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transport and selling used bottles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0.6929907324039386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2019</v>
      </c>
    </row>
    <row r="13" spans="1:7">
      <c r="B13" s="1" t="s">
        <v>8</v>
      </c>
      <c r="C13" s="67">
        <f>IFERROR(Output!B107/Output!B101,"")</f>
        <v>0.01816009557945042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96081.60000000001</v>
      </c>
    </row>
    <row r="18" spans="1:7">
      <c r="B18" s="1" t="s">
        <v>12</v>
      </c>
      <c r="C18" s="36">
        <f>MIN(Output!B6:M6)</f>
        <v>-12601.86666666667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13662.13333333333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9050</v>
      </c>
    </row>
    <row r="25" spans="1:7">
      <c r="B25" s="1" t="s">
        <v>18</v>
      </c>
      <c r="C25" s="36">
        <f>MAX(Inputs!A56:A60)</f>
        <v>15000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13662.13333333333</v>
      </c>
      <c r="C6" s="51">
        <f>C30-C88</f>
        <v>-12601.86666666667</v>
      </c>
      <c r="D6" s="51">
        <f>D30-D88</f>
        <v>5822.133333333335</v>
      </c>
      <c r="E6" s="51">
        <f>E30-E88</f>
        <v>5822.133333333335</v>
      </c>
      <c r="F6" s="51">
        <f>F30-F88</f>
        <v>3422.133333333335</v>
      </c>
      <c r="G6" s="51">
        <f>G30-G88</f>
        <v>5822.133333333335</v>
      </c>
      <c r="H6" s="51">
        <f>H30-H88</f>
        <v>5822.133333333335</v>
      </c>
      <c r="I6" s="51">
        <f>I30-I88</f>
        <v>13662.13333333333</v>
      </c>
      <c r="J6" s="51">
        <f>J30-J88</f>
        <v>13662.13333333333</v>
      </c>
      <c r="K6" s="51">
        <f>K30-K88</f>
        <v>13662.13333333333</v>
      </c>
      <c r="L6" s="51">
        <f>L30-L88</f>
        <v>13662.13333333333</v>
      </c>
      <c r="M6" s="51">
        <f>M30-M88</f>
        <v>13662.13333333333</v>
      </c>
      <c r="N6" s="51">
        <f>N30-N88</f>
        <v>13662.13333333333</v>
      </c>
      <c r="O6" s="51">
        <f>O30-O88</f>
        <v>-12601.86666666667</v>
      </c>
      <c r="P6" s="51">
        <f>P30-P88</f>
        <v>5822.133333333335</v>
      </c>
      <c r="Q6" s="51">
        <f>Q30-Q88</f>
        <v>5822.133333333335</v>
      </c>
      <c r="R6" s="51">
        <f>R30-R88</f>
        <v>3422.133333333335</v>
      </c>
      <c r="S6" s="51">
        <f>S30-S88</f>
        <v>5822.133333333335</v>
      </c>
      <c r="T6" s="51">
        <f>T30-T88</f>
        <v>5822.133333333335</v>
      </c>
      <c r="U6" s="51">
        <f>U30-U88</f>
        <v>13662.13333333333</v>
      </c>
      <c r="V6" s="51">
        <f>V30-V88</f>
        <v>13662.13333333333</v>
      </c>
      <c r="W6" s="51">
        <f>W30-W88</f>
        <v>13662.13333333333</v>
      </c>
      <c r="X6" s="51">
        <f>X30-X88</f>
        <v>13662.13333333333</v>
      </c>
      <c r="Y6" s="51">
        <f>Y30-Y88</f>
        <v>13662.13333333333</v>
      </c>
      <c r="Z6" s="51">
        <f>SUMIF($B$13:$Y$13,"Yes",B6:Y6)</f>
        <v>109743.7333333333</v>
      </c>
      <c r="AA6" s="51">
        <f>AA30-AA88</f>
        <v>96081.59999999998</v>
      </c>
      <c r="AB6" s="51">
        <f>AB30-AB88</f>
        <v>192163.2000000002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10615</v>
      </c>
      <c r="I7" s="80">
        <f>IF(ISERROR(VLOOKUP(MONTH(I5),Inputs!$D$66:$D$71,1,0)),"",INDEX(Inputs!$B$66:$B$71,MATCH(MONTH(Output!I5),Inputs!$D$66:$D$71,0))-INDEX(Inputs!$C$66:$C$71,MATCH(MONTH(Output!I5),Inputs!$D$66:$D$71,0)))</f>
        <v>-10590</v>
      </c>
      <c r="J7" s="80">
        <f>IF(ISERROR(VLOOKUP(MONTH(J5),Inputs!$D$66:$D$71,1,0)),"",INDEX(Inputs!$B$66:$B$71,MATCH(MONTH(Output!J5),Inputs!$D$66:$D$71,0))-INDEX(Inputs!$C$66:$C$71,MATCH(MONTH(Output!J5),Inputs!$D$66:$D$71,0)))</f>
        <v>-50937</v>
      </c>
      <c r="K7" s="80">
        <f>IF(ISERROR(VLOOKUP(MONTH(K5),Inputs!$D$66:$D$71,1,0)),"",INDEX(Inputs!$B$66:$B$71,MATCH(MONTH(Output!K5),Inputs!$D$66:$D$71,0))-INDEX(Inputs!$C$66:$C$71,MATCH(MONTH(Output!K5),Inputs!$D$66:$D$71,0)))</f>
        <v>-1028</v>
      </c>
      <c r="L7" s="80">
        <f>IF(ISERROR(VLOOKUP(MONTH(L5),Inputs!$D$66:$D$71,1,0)),"",INDEX(Inputs!$B$66:$B$71,MATCH(MONTH(Output!L5),Inputs!$D$66:$D$71,0))-INDEX(Inputs!$C$66:$C$71,MATCH(MONTH(Output!L5),Inputs!$D$66:$D$71,0)))</f>
        <v>49</v>
      </c>
      <c r="M7" s="80">
        <f>IF(ISERROR(VLOOKUP(MONTH(M5),Inputs!$D$66:$D$71,1,0)),"",INDEX(Inputs!$B$66:$B$71,MATCH(MONTH(Output!M5),Inputs!$D$66:$D$71,0))-INDEX(Inputs!$C$66:$C$71,MATCH(MONTH(Output!M5),Inputs!$D$66:$D$71,0)))</f>
        <v>-48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10615</v>
      </c>
      <c r="U7" s="80">
        <f>IF(ISERROR(VLOOKUP(MONTH(U5),Inputs!$D$66:$D$71,1,0)),"",INDEX(Inputs!$B$66:$B$71,MATCH(MONTH(Output!U5),Inputs!$D$66:$D$71,0))-INDEX(Inputs!$C$66:$C$71,MATCH(MONTH(Output!U5),Inputs!$D$66:$D$71,0)))</f>
        <v>-10590</v>
      </c>
      <c r="V7" s="80">
        <f>IF(ISERROR(VLOOKUP(MONTH(V5),Inputs!$D$66:$D$71,1,0)),"",INDEX(Inputs!$B$66:$B$71,MATCH(MONTH(Output!V5),Inputs!$D$66:$D$71,0))-INDEX(Inputs!$C$66:$C$71,MATCH(MONTH(Output!V5),Inputs!$D$66:$D$71,0)))</f>
        <v>-50937</v>
      </c>
      <c r="W7" s="80">
        <f>IF(ISERROR(VLOOKUP(MONTH(W5),Inputs!$D$66:$D$71,1,0)),"",INDEX(Inputs!$B$66:$B$71,MATCH(MONTH(Output!W5),Inputs!$D$66:$D$71,0))-INDEX(Inputs!$C$66:$C$71,MATCH(MONTH(Output!W5),Inputs!$D$66:$D$71,0)))</f>
        <v>-1028</v>
      </c>
      <c r="X7" s="80">
        <f>IF(ISERROR(VLOOKUP(MONTH(X5),Inputs!$D$66:$D$71,1,0)),"",INDEX(Inputs!$B$66:$B$71,MATCH(MONTH(Output!X5),Inputs!$D$66:$D$71,0))-INDEX(Inputs!$C$66:$C$71,MATCH(MONTH(Output!X5),Inputs!$D$66:$D$71,0)))</f>
        <v>49</v>
      </c>
      <c r="Y7" s="80">
        <f>IF(ISERROR(VLOOKUP(MONTH(Y5),Inputs!$D$66:$D$71,1,0)),"",INDEX(Inputs!$B$66:$B$71,MATCH(MONTH(Output!Y5),Inputs!$D$66:$D$71,0))-INDEX(Inputs!$C$66:$C$71,MATCH(MONTH(Output!Y5),Inputs!$D$66:$D$71,0)))</f>
        <v>-48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163662.1333333333</v>
      </c>
      <c r="C11" s="80">
        <f>C6+C9-C10</f>
        <v>-27601.86666666667</v>
      </c>
      <c r="D11" s="80">
        <f>D6+D9-D10</f>
        <v>-9177.866666666665</v>
      </c>
      <c r="E11" s="80">
        <f>E6+E9-E10</f>
        <v>-9177.866666666665</v>
      </c>
      <c r="F11" s="80">
        <f>F6+F9-F10</f>
        <v>-11577.86666666666</v>
      </c>
      <c r="G11" s="80">
        <f>G6+G9-G10</f>
        <v>-9177.866666666665</v>
      </c>
      <c r="H11" s="80">
        <f>H6+H9-H10</f>
        <v>-9177.866666666665</v>
      </c>
      <c r="I11" s="80">
        <f>I6+I9-I10</f>
        <v>-1337.866666666667</v>
      </c>
      <c r="J11" s="80">
        <f>J6+J9-J10</f>
        <v>-1337.866666666667</v>
      </c>
      <c r="K11" s="80">
        <f>K6+K9-K10</f>
        <v>-1337.866666666667</v>
      </c>
      <c r="L11" s="80">
        <f>L6+L9-L10</f>
        <v>-1337.866666666667</v>
      </c>
      <c r="M11" s="80">
        <f>M6+M9-M10</f>
        <v>-1337.866666666667</v>
      </c>
      <c r="N11" s="80">
        <f>N6+N9-N10</f>
        <v>-1337.866666666667</v>
      </c>
      <c r="O11" s="80">
        <f>O6+O9-O10</f>
        <v>-12601.86666666667</v>
      </c>
      <c r="P11" s="80">
        <f>P6+P9-P10</f>
        <v>5822.133333333335</v>
      </c>
      <c r="Q11" s="80">
        <f>Q6+Q9-Q10</f>
        <v>5822.133333333335</v>
      </c>
      <c r="R11" s="80">
        <f>R6+R9-R10</f>
        <v>3422.133333333335</v>
      </c>
      <c r="S11" s="80">
        <f>S6+S9-S10</f>
        <v>5822.133333333335</v>
      </c>
      <c r="T11" s="80">
        <f>T6+T9-T10</f>
        <v>5822.133333333335</v>
      </c>
      <c r="U11" s="80">
        <f>U6+U9-U10</f>
        <v>13662.13333333333</v>
      </c>
      <c r="V11" s="80">
        <f>V6+V9-V10</f>
        <v>13662.13333333333</v>
      </c>
      <c r="W11" s="80">
        <f>W6+W9-W10</f>
        <v>13662.13333333333</v>
      </c>
      <c r="X11" s="80">
        <f>X6+X9-X10</f>
        <v>13662.13333333333</v>
      </c>
      <c r="Y11" s="80">
        <f>Y6+Y9-Y10</f>
        <v>13662.13333333333</v>
      </c>
      <c r="Z11" s="85">
        <f>SUMIF($B$13:$Y$13,"Yes",B11:Y11)</f>
        <v>79743.73333333331</v>
      </c>
      <c r="AA11" s="80">
        <f>SUM(B11:M11)</f>
        <v>81081.59999999998</v>
      </c>
      <c r="AB11" s="46">
        <f>SUM(B11:Y11)</f>
        <v>162163.2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0.09929811677811594</v>
      </c>
      <c r="D12" s="82">
        <f>IF(D13="Yes",IF(SUM($B$10:D10)/(SUM($B$6:D6)+SUM($B$9:D9))&lt;0,999.99,SUM($B$10:D10)/(SUM($B$6:D6)+SUM($B$9:D9))),"")</f>
        <v>0.191226039377266</v>
      </c>
      <c r="E12" s="82">
        <f>IF(E13="Yes",IF(SUM($B$10:E10)/(SUM($B$6:E6)+SUM($B$9:E9))&lt;0,999.99,SUM($B$10:E10)/(SUM($B$6:E6)+SUM($B$9:E9))),"")</f>
        <v>0.2765749612385314</v>
      </c>
      <c r="F12" s="82">
        <f>IF(F13="Yes",IF(SUM($B$10:F10)/(SUM($B$6:F6)+SUM($B$9:F9))&lt;0,999.99,SUM($B$10:F10)/(SUM($B$6:F6)+SUM($B$9:F9))),"")</f>
        <v>0.3611701914202015</v>
      </c>
      <c r="G12" s="82">
        <f>IF(G13="Yes",IF(SUM($B$10:G10)/(SUM($B$6:G6)+SUM($B$9:G9))&lt;0,999.99,SUM($B$10:G10)/(SUM($B$6:G6)+SUM($B$9:G9))),"")</f>
        <v>0.4361763501693527</v>
      </c>
      <c r="H12" s="82">
        <f>IF(H13="Yes",IF(SUM($B$10:H10)/(SUM($B$6:H6)+SUM($B$9:H9))&lt;0,999.99,SUM($B$10:H10)/(SUM($B$6:H6)+SUM($B$9:H9))),"")</f>
        <v>0.5062694913754179</v>
      </c>
      <c r="I12" s="82">
        <f>IF(I13="Yes",IF(SUM($B$10:I10)/(SUM($B$6:I6)+SUM($B$9:I9))&lt;0,999.99,SUM($B$10:I10)/(SUM($B$6:I6)+SUM($B$9:I9))),"")</f>
        <v>0.5484945826147763</v>
      </c>
      <c r="J12" s="82">
        <f>IF(J13="Yes",IF(SUM($B$10:J10)/(SUM($B$6:J6)+SUM($B$9:J9))&lt;0,999.99,SUM($B$10:J10)/(SUM($B$6:J6)+SUM($B$9:J9))),"")</f>
        <v>0.585094141647391</v>
      </c>
      <c r="K12" s="82">
        <f>IF(K13="Yes",IF(SUM($B$10:K10)/(SUM($B$6:K6)+SUM($B$9:K9))&lt;0,999.99,SUM($B$10:K10)/(SUM($B$6:K6)+SUM($B$9:K9))),"")</f>
        <v>0.6171221688568155</v>
      </c>
      <c r="L12" s="82">
        <f>IF(L13="Yes",IF(SUM($B$10:L10)/(SUM($B$6:L6)+SUM($B$9:L9))&lt;0,999.99,SUM($B$10:L10)/(SUM($B$6:L6)+SUM($B$9:L9))),"")</f>
        <v>0.6453848386767373</v>
      </c>
      <c r="M12" s="82">
        <f>IF(M13="Yes",IF(SUM($B$10:M10)/(SUM($B$6:M6)+SUM($B$9:M9))&lt;0,999.99,SUM($B$10:M10)/(SUM($B$6:M6)+SUM($B$9:M9))),"")</f>
        <v>0.6705092944779293</v>
      </c>
      <c r="N12" s="82">
        <f>IF(N13="Yes",IF(SUM($B$10:N10)/(SUM($B$6:N6)+SUM($B$9:N9))&lt;0,999.99,SUM($B$10:N10)/(SUM($B$6:N6)+SUM($B$9:N9))),"")</f>
        <v>0.6929907324039386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Coffee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24000</v>
      </c>
      <c r="C29" s="37">
        <f>Inputs!$B$30</f>
        <v>24000</v>
      </c>
      <c r="D29" s="37">
        <f>Inputs!$B$30</f>
        <v>24000</v>
      </c>
      <c r="E29" s="37">
        <f>Inputs!$B$30</f>
        <v>24000</v>
      </c>
      <c r="F29" s="37">
        <f>Inputs!$B$30</f>
        <v>24000</v>
      </c>
      <c r="G29" s="37">
        <f>Inputs!$B$30</f>
        <v>24000</v>
      </c>
      <c r="H29" s="37">
        <f>Inputs!$B$30</f>
        <v>24000</v>
      </c>
      <c r="I29" s="37">
        <f>Inputs!$B$30</f>
        <v>24000</v>
      </c>
      <c r="J29" s="37">
        <f>Inputs!$B$30</f>
        <v>24000</v>
      </c>
      <c r="K29" s="37">
        <f>Inputs!$B$30</f>
        <v>24000</v>
      </c>
      <c r="L29" s="37">
        <f>Inputs!$B$30</f>
        <v>24000</v>
      </c>
      <c r="M29" s="37">
        <f>Inputs!$B$30</f>
        <v>24000</v>
      </c>
      <c r="N29" s="37">
        <f>Inputs!$B$30</f>
        <v>24000</v>
      </c>
      <c r="O29" s="37">
        <f>Inputs!$B$30</f>
        <v>24000</v>
      </c>
      <c r="P29" s="37">
        <f>Inputs!$B$30</f>
        <v>24000</v>
      </c>
      <c r="Q29" s="37">
        <f>Inputs!$B$30</f>
        <v>24000</v>
      </c>
      <c r="R29" s="37">
        <f>Inputs!$B$30</f>
        <v>24000</v>
      </c>
      <c r="S29" s="37">
        <f>Inputs!$B$30</f>
        <v>24000</v>
      </c>
      <c r="T29" s="37">
        <f>Inputs!$B$30</f>
        <v>24000</v>
      </c>
      <c r="U29" s="37">
        <f>Inputs!$B$30</f>
        <v>24000</v>
      </c>
      <c r="V29" s="37">
        <f>Inputs!$B$30</f>
        <v>24000</v>
      </c>
      <c r="W29" s="37">
        <f>Inputs!$B$30</f>
        <v>24000</v>
      </c>
      <c r="X29" s="37">
        <f>Inputs!$B$30</f>
        <v>24000</v>
      </c>
      <c r="Y29" s="37">
        <f>Inputs!$B$30</f>
        <v>24000</v>
      </c>
      <c r="Z29" s="37">
        <f>SUMIF($B$13:$Y$13,"Yes",B29:Y29)</f>
        <v>312000</v>
      </c>
      <c r="AA29" s="37">
        <f>SUM(B29:M29)</f>
        <v>288000</v>
      </c>
      <c r="AB29" s="37">
        <f>SUM(B29:Y29)</f>
        <v>576000</v>
      </c>
    </row>
    <row r="30" spans="1:30" customHeight="1" ht="15.75">
      <c r="A30" s="1" t="s">
        <v>37</v>
      </c>
      <c r="B30" s="19">
        <f>SUM(B18:B29)</f>
        <v>24000</v>
      </c>
      <c r="C30" s="19">
        <f>SUM(C18:C29)</f>
        <v>24000</v>
      </c>
      <c r="D30" s="19">
        <f>SUM(D18:D29)</f>
        <v>24000</v>
      </c>
      <c r="E30" s="19">
        <f>SUM(E18:E29)</f>
        <v>24000</v>
      </c>
      <c r="F30" s="19">
        <f>SUM(F18:F29)</f>
        <v>24000</v>
      </c>
      <c r="G30" s="19">
        <f>SUM(G18:G29)</f>
        <v>24000</v>
      </c>
      <c r="H30" s="19">
        <f>SUM(H18:H29)</f>
        <v>24000</v>
      </c>
      <c r="I30" s="19">
        <f>SUM(I18:I29)</f>
        <v>24000</v>
      </c>
      <c r="J30" s="19">
        <f>SUM(J18:J29)</f>
        <v>24000</v>
      </c>
      <c r="K30" s="19">
        <f>SUM(K18:K29)</f>
        <v>24000</v>
      </c>
      <c r="L30" s="19">
        <f>SUM(L18:L29)</f>
        <v>24000</v>
      </c>
      <c r="M30" s="19">
        <f>SUM(M18:M29)</f>
        <v>24000</v>
      </c>
      <c r="N30" s="19">
        <f>SUM(N18:N29)</f>
        <v>24000</v>
      </c>
      <c r="O30" s="19">
        <f>SUM(O18:O29)</f>
        <v>24000</v>
      </c>
      <c r="P30" s="19">
        <f>SUM(P18:P29)</f>
        <v>24000</v>
      </c>
      <c r="Q30" s="19">
        <f>SUM(Q18:Q29)</f>
        <v>24000</v>
      </c>
      <c r="R30" s="19">
        <f>SUM(R18:R29)</f>
        <v>24000</v>
      </c>
      <c r="S30" s="19">
        <f>SUM(S18:S29)</f>
        <v>24000</v>
      </c>
      <c r="T30" s="19">
        <f>SUM(T18:T29)</f>
        <v>24000</v>
      </c>
      <c r="U30" s="19">
        <f>SUM(U18:U29)</f>
        <v>24000</v>
      </c>
      <c r="V30" s="19">
        <f>SUM(V18:V29)</f>
        <v>24000</v>
      </c>
      <c r="W30" s="19">
        <f>SUM(W18:W29)</f>
        <v>24000</v>
      </c>
      <c r="X30" s="19">
        <f>SUM(X18:X29)</f>
        <v>24000</v>
      </c>
      <c r="Y30" s="19">
        <f>SUM(Y18:Y29)</f>
        <v>24000</v>
      </c>
      <c r="Z30" s="19">
        <f>SUMIF($B$13:$Y$13,"Yes",B30:Y30)</f>
        <v>312000</v>
      </c>
      <c r="AA30" s="19">
        <f>SUM(B30:M30)</f>
        <v>288000</v>
      </c>
      <c r="AB30" s="19">
        <f>SUM(B30:Y30)</f>
        <v>576000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16000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16000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16000</v>
      </c>
      <c r="AA36" s="36">
        <f>SUM(B36:M36)</f>
        <v>16000</v>
      </c>
      <c r="AB36" s="36">
        <f>SUM(B36:Y36)</f>
        <v>32000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16000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16000</v>
      </c>
      <c r="AA37" s="36">
        <f>SUM(B37:M37)</f>
        <v>16000</v>
      </c>
      <c r="AB37" s="36">
        <f>SUM(B37:Y37)</f>
        <v>32000</v>
      </c>
      <c r="AC37" s="73"/>
    </row>
    <row r="38" spans="1:30" hidden="true" outlineLevel="1">
      <c r="A38" s="181" t="str">
        <f>Calculations!$A$5</f>
        <v>Coffee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2424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2424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2424</v>
      </c>
      <c r="AA42" s="36">
        <f>SUM(B42:M42)</f>
        <v>2424</v>
      </c>
      <c r="AB42" s="36">
        <f>SUM(B42:Y42)</f>
        <v>4848.000000000001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2424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2424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2424</v>
      </c>
      <c r="AA43" s="36">
        <f>SUM(B43:M43)</f>
        <v>2424</v>
      </c>
      <c r="AB43" s="36">
        <f>SUM(B43:Y43)</f>
        <v>4848.000000000001</v>
      </c>
    </row>
    <row r="44" spans="1:30" hidden="true" outlineLevel="1">
      <c r="A44" s="181" t="str">
        <f>Calculations!$A$5</f>
        <v>Coffee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2400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2400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2400</v>
      </c>
      <c r="AA48" s="46">
        <f>SUM(B48:M48)</f>
        <v>2400</v>
      </c>
      <c r="AB48" s="46">
        <f>SUM(B48:Y48)</f>
        <v>4800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2400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2400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2400</v>
      </c>
      <c r="AA49" s="46">
        <f>SUM(B49:M49)</f>
        <v>2400</v>
      </c>
      <c r="AB49" s="46">
        <f>SUM(B49:Y49)</f>
        <v>4800</v>
      </c>
    </row>
    <row r="50" spans="1:30" hidden="true" outlineLevel="1">
      <c r="A50" s="181" t="str">
        <f>Calculations!$A$5</f>
        <v>Coffee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Coffee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Coffee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7839.999999999999</v>
      </c>
      <c r="D66" s="36">
        <f>P66</f>
        <v>7839.999999999999</v>
      </c>
      <c r="E66" s="36">
        <f>Q66</f>
        <v>7839.999999999999</v>
      </c>
      <c r="F66" s="36">
        <f>R66</f>
        <v>7839.999999999999</v>
      </c>
      <c r="G66" s="36">
        <f>S66</f>
        <v>7839.999999999999</v>
      </c>
      <c r="H66" s="36">
        <f>T66</f>
        <v>7839.999999999999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7839.999999999999</v>
      </c>
      <c r="P66" s="46">
        <f>SUM(P67:P71)</f>
        <v>7839.999999999999</v>
      </c>
      <c r="Q66" s="46">
        <f>SUM(Q67:Q71)</f>
        <v>7839.999999999999</v>
      </c>
      <c r="R66" s="46">
        <f>SUM(R67:R71)</f>
        <v>7839.999999999999</v>
      </c>
      <c r="S66" s="46">
        <f>SUM(S67:S71)</f>
        <v>7839.999999999999</v>
      </c>
      <c r="T66" s="46">
        <f>SUM(T67:T71)</f>
        <v>7839.999999999999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47039.99999999999</v>
      </c>
      <c r="AA66" s="46">
        <f>SUM(B66:M66)</f>
        <v>47039.99999999999</v>
      </c>
      <c r="AB66" s="46">
        <f>SUM(B66:Y66)</f>
        <v>94079.99999999999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7839.999999999999</v>
      </c>
      <c r="D67" s="36">
        <f>P67</f>
        <v>7839.999999999999</v>
      </c>
      <c r="E67" s="36">
        <f>Q67</f>
        <v>7839.999999999999</v>
      </c>
      <c r="F67" s="36">
        <f>R67</f>
        <v>7839.999999999999</v>
      </c>
      <c r="G67" s="36">
        <f>S67</f>
        <v>7839.999999999999</v>
      </c>
      <c r="H67" s="36">
        <f>T67</f>
        <v>7839.999999999999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7839.999999999999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7839.999999999999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7839.999999999999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7839.999999999999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7839.999999999999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7839.999999999999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47039.99999999999</v>
      </c>
      <c r="AA67" s="46">
        <f>SUM(B67:M67)</f>
        <v>47039.99999999999</v>
      </c>
      <c r="AB67" s="46">
        <f>SUM(B67:Y67)</f>
        <v>94079.99999999999</v>
      </c>
    </row>
    <row r="68" spans="1:30" hidden="true" outlineLevel="1">
      <c r="A68" s="181" t="str">
        <f>Calculations!$A$5</f>
        <v>Coffee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5337.866666666667</v>
      </c>
      <c r="C81" s="46">
        <f>(SUM($AA$18:$AA$29)-SUM($AA$36,$AA$42,$AA$48,$AA$54,$AA$60,$AA$66,$AA$72:$AA$79))*Parameters!$B$37/12</f>
        <v>5337.866666666667</v>
      </c>
      <c r="D81" s="46">
        <f>(SUM($AA$18:$AA$29)-SUM($AA$36,$AA$42,$AA$48,$AA$54,$AA$60,$AA$66,$AA$72:$AA$79))*Parameters!$B$37/12</f>
        <v>5337.866666666667</v>
      </c>
      <c r="E81" s="46">
        <f>(SUM($AA$18:$AA$29)-SUM($AA$36,$AA$42,$AA$48,$AA$54,$AA$60,$AA$66,$AA$72:$AA$79))*Parameters!$B$37/12</f>
        <v>5337.866666666667</v>
      </c>
      <c r="F81" s="46">
        <f>(SUM($AA$18:$AA$29)-SUM($AA$36,$AA$42,$AA$48,$AA$54,$AA$60,$AA$66,$AA$72:$AA$79))*Parameters!$B$37/12</f>
        <v>5337.866666666667</v>
      </c>
      <c r="G81" s="46">
        <f>(SUM($AA$18:$AA$29)-SUM($AA$36,$AA$42,$AA$48,$AA$54,$AA$60,$AA$66,$AA$72:$AA$79))*Parameters!$B$37/12</f>
        <v>5337.866666666667</v>
      </c>
      <c r="H81" s="46">
        <f>(SUM($AA$18:$AA$29)-SUM($AA$36,$AA$42,$AA$48,$AA$54,$AA$60,$AA$66,$AA$72:$AA$79))*Parameters!$B$37/12</f>
        <v>5337.866666666667</v>
      </c>
      <c r="I81" s="46">
        <f>(SUM($AA$18:$AA$29)-SUM($AA$36,$AA$42,$AA$48,$AA$54,$AA$60,$AA$66,$AA$72:$AA$79))*Parameters!$B$37/12</f>
        <v>5337.866666666667</v>
      </c>
      <c r="J81" s="46">
        <f>(SUM($AA$18:$AA$29)-SUM($AA$36,$AA$42,$AA$48,$AA$54,$AA$60,$AA$66,$AA$72:$AA$79))*Parameters!$B$37/12</f>
        <v>5337.866666666667</v>
      </c>
      <c r="K81" s="46">
        <f>(SUM($AA$18:$AA$29)-SUM($AA$36,$AA$42,$AA$48,$AA$54,$AA$60,$AA$66,$AA$72:$AA$79))*Parameters!$B$37/12</f>
        <v>5337.866666666667</v>
      </c>
      <c r="L81" s="46">
        <f>(SUM($AA$18:$AA$29)-SUM($AA$36,$AA$42,$AA$48,$AA$54,$AA$60,$AA$66,$AA$72:$AA$79))*Parameters!$B$37/12</f>
        <v>5337.866666666667</v>
      </c>
      <c r="M81" s="46">
        <f>(SUM($AA$18:$AA$29)-SUM($AA$36,$AA$42,$AA$48,$AA$54,$AA$60,$AA$66,$AA$72:$AA$79))*Parameters!$B$37/12</f>
        <v>5337.866666666667</v>
      </c>
      <c r="N81" s="46">
        <f>(SUM($AA$18:$AA$29)-SUM($AA$36,$AA$42,$AA$48,$AA$54,$AA$60,$AA$66,$AA$72:$AA$79))*Parameters!$B$37/12</f>
        <v>5337.866666666667</v>
      </c>
      <c r="O81" s="46">
        <f>(SUM($AA$18:$AA$29)-SUM($AA$36,$AA$42,$AA$48,$AA$54,$AA$60,$AA$66,$AA$72:$AA$79))*Parameters!$B$37/12</f>
        <v>5337.866666666667</v>
      </c>
      <c r="P81" s="46">
        <f>(SUM($AA$18:$AA$29)-SUM($AA$36,$AA$42,$AA$48,$AA$54,$AA$60,$AA$66,$AA$72:$AA$79))*Parameters!$B$37/12</f>
        <v>5337.866666666667</v>
      </c>
      <c r="Q81" s="46">
        <f>(SUM($AA$18:$AA$29)-SUM($AA$36,$AA$42,$AA$48,$AA$54,$AA$60,$AA$66,$AA$72:$AA$79))*Parameters!$B$37/12</f>
        <v>5337.866666666667</v>
      </c>
      <c r="R81" s="46">
        <f>(SUM($AA$18:$AA$29)-SUM($AA$36,$AA$42,$AA$48,$AA$54,$AA$60,$AA$66,$AA$72:$AA$79))*Parameters!$B$37/12</f>
        <v>5337.866666666667</v>
      </c>
      <c r="S81" s="46">
        <f>(SUM($AA$18:$AA$29)-SUM($AA$36,$AA$42,$AA$48,$AA$54,$AA$60,$AA$66,$AA$72:$AA$79))*Parameters!$B$37/12</f>
        <v>5337.866666666667</v>
      </c>
      <c r="T81" s="46">
        <f>(SUM($AA$18:$AA$29)-SUM($AA$36,$AA$42,$AA$48,$AA$54,$AA$60,$AA$66,$AA$72:$AA$79))*Parameters!$B$37/12</f>
        <v>5337.866666666667</v>
      </c>
      <c r="U81" s="46">
        <f>(SUM($AA$18:$AA$29)-SUM($AA$36,$AA$42,$AA$48,$AA$54,$AA$60,$AA$66,$AA$72:$AA$79))*Parameters!$B$37/12</f>
        <v>5337.866666666667</v>
      </c>
      <c r="V81" s="46">
        <f>(SUM($AA$18:$AA$29)-SUM($AA$36,$AA$42,$AA$48,$AA$54,$AA$60,$AA$66,$AA$72:$AA$79))*Parameters!$B$37/12</f>
        <v>5337.866666666667</v>
      </c>
      <c r="W81" s="46">
        <f>(SUM($AA$18:$AA$29)-SUM($AA$36,$AA$42,$AA$48,$AA$54,$AA$60,$AA$66,$AA$72:$AA$79))*Parameters!$B$37/12</f>
        <v>5337.866666666667</v>
      </c>
      <c r="X81" s="46">
        <f>(SUM($AA$18:$AA$29)-SUM($AA$36,$AA$42,$AA$48,$AA$54,$AA$60,$AA$66,$AA$72:$AA$79))*Parameters!$B$37/12</f>
        <v>5337.866666666667</v>
      </c>
      <c r="Y81" s="46">
        <f>(SUM($AA$18:$AA$29)-SUM($AA$36,$AA$42,$AA$48,$AA$54,$AA$60,$AA$66,$AA$72:$AA$79))*Parameters!$B$37/12</f>
        <v>5337.866666666667</v>
      </c>
      <c r="Z81" s="46">
        <f>SUMIF($B$13:$Y$13,"Yes",B81:Y81)</f>
        <v>69392.26666666668</v>
      </c>
      <c r="AA81" s="46">
        <f>SUM(B81:M81)</f>
        <v>64054.40000000002</v>
      </c>
      <c r="AB81" s="46">
        <f>SUM(B81:Y81)</f>
        <v>128108.8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10337.86666666667</v>
      </c>
      <c r="C88" s="19">
        <f>SUM(C72:C82,C66,C60,C54,C48,C42,C36)</f>
        <v>36601.86666666667</v>
      </c>
      <c r="D88" s="19">
        <f>SUM(D72:D82,D66,D60,D54,D48,D42,D36)</f>
        <v>18177.86666666666</v>
      </c>
      <c r="E88" s="19">
        <f>SUM(E72:E82,E66,E60,E54,E48,E42,E36)</f>
        <v>18177.86666666666</v>
      </c>
      <c r="F88" s="19">
        <f>SUM(F72:F82,F66,F60,F54,F48,F42,F36)</f>
        <v>20577.86666666666</v>
      </c>
      <c r="G88" s="19">
        <f>SUM(G72:G82,G66,G60,G54,G48,G42,G36)</f>
        <v>18177.86666666666</v>
      </c>
      <c r="H88" s="19">
        <f>SUM(H72:H82,H66,H60,H54,H48,H42,H36)</f>
        <v>18177.86666666666</v>
      </c>
      <c r="I88" s="19">
        <f>SUM(I72:I82,I66,I60,I54,I48,I42,I36)</f>
        <v>10337.86666666667</v>
      </c>
      <c r="J88" s="19">
        <f>SUM(J72:J82,J66,J60,J54,J48,J42,J36)</f>
        <v>10337.86666666667</v>
      </c>
      <c r="K88" s="19">
        <f>SUM(K72:K82,K66,K60,K54,K48,K42,K36)</f>
        <v>10337.86666666667</v>
      </c>
      <c r="L88" s="19">
        <f>SUM(L72:L82,L66,L60,L54,L48,L42,L36)</f>
        <v>10337.86666666667</v>
      </c>
      <c r="M88" s="19">
        <f>SUM(M72:M82,M66,M60,M54,M48,M42,M36)</f>
        <v>10337.86666666667</v>
      </c>
      <c r="N88" s="19">
        <f>SUM(N72:N82,N66,N60,N54,N48,N42,N36)</f>
        <v>10337.86666666667</v>
      </c>
      <c r="O88" s="19">
        <f>SUM(O72:O82,O66,O60,O54,O48,O42,O36)</f>
        <v>36601.86666666667</v>
      </c>
      <c r="P88" s="19">
        <f>SUM(P72:P82,P66,P60,P54,P48,P42,P36)</f>
        <v>18177.86666666666</v>
      </c>
      <c r="Q88" s="19">
        <f>SUM(Q72:Q82,Q66,Q60,Q54,Q48,Q42,Q36)</f>
        <v>18177.86666666666</v>
      </c>
      <c r="R88" s="19">
        <f>SUM(R72:R82,R66,R60,R54,R48,R42,R36)</f>
        <v>20577.86666666666</v>
      </c>
      <c r="S88" s="19">
        <f>SUM(S72:S82,S66,S60,S54,S48,S42,S36)</f>
        <v>18177.86666666666</v>
      </c>
      <c r="T88" s="19">
        <f>SUM(T72:T82,T66,T60,T54,T48,T42,T36)</f>
        <v>18177.86666666666</v>
      </c>
      <c r="U88" s="19">
        <f>SUM(U72:U82,U66,U60,U54,U48,U42,U36)</f>
        <v>10337.86666666667</v>
      </c>
      <c r="V88" s="19">
        <f>SUM(V72:V82,V66,V60,V54,V48,V42,V36)</f>
        <v>10337.86666666667</v>
      </c>
      <c r="W88" s="19">
        <f>SUM(W72:W82,W66,W60,W54,W48,W42,W36)</f>
        <v>10337.86666666667</v>
      </c>
      <c r="X88" s="19">
        <f>SUM(X72:X82,X66,X60,X54,X48,X42,X36)</f>
        <v>10337.86666666667</v>
      </c>
      <c r="Y88" s="19">
        <f>SUM(Y72:Y82,Y66,Y60,Y54,Y48,Y42,Y36)</f>
        <v>10337.86666666667</v>
      </c>
      <c r="Z88" s="19">
        <f>SUMIF($B$13:$Y$13,"Yes",B88:Y88)</f>
        <v>202256.2666666667</v>
      </c>
      <c r="AA88" s="19">
        <f>SUM(B88:M88)</f>
        <v>191918.4</v>
      </c>
      <c r="AB88" s="19">
        <f>SUM(B88:Y88)</f>
        <v>383836.7999999998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3000000</v>
      </c>
    </row>
    <row r="98" spans="1:30">
      <c r="A98" t="s">
        <v>64</v>
      </c>
      <c r="B98" s="36">
        <f>IF(Inputs!B44="Yes",Inputs!B45,0)</f>
        <v>4500000</v>
      </c>
    </row>
    <row r="99" spans="1:30">
      <c r="A99" t="s">
        <v>65</v>
      </c>
      <c r="B99" s="36">
        <f>Inputs!B46</f>
        <v>120000</v>
      </c>
    </row>
    <row r="100" spans="1:30" customHeight="1" ht="15.75">
      <c r="A100" s="18" t="s">
        <v>66</v>
      </c>
      <c r="B100" s="37">
        <f>Inputs!B48</f>
        <v>150000</v>
      </c>
    </row>
    <row r="101" spans="1:30" customHeight="1" ht="15.75">
      <c r="A101" s="1" t="s">
        <v>67</v>
      </c>
      <c r="B101" s="19">
        <f>SUM(B94:B100)</f>
        <v>8370000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97</v>
      </c>
      <c r="J8" s="148" t="s">
        <v>98</v>
      </c>
      <c r="K8" s="138"/>
      <c r="L8" s="16"/>
      <c r="M8" s="165">
        <v>100</v>
      </c>
      <c r="N8" s="154">
        <v>0</v>
      </c>
    </row>
    <row r="9" spans="1:48">
      <c r="A9" s="143" t="s">
        <v>99</v>
      </c>
      <c r="B9" s="16"/>
      <c r="C9" s="143">
        <v>0</v>
      </c>
      <c r="D9" s="16"/>
      <c r="E9" s="147" t="s">
        <v>100</v>
      </c>
      <c r="F9" s="149" t="s">
        <v>91</v>
      </c>
      <c r="G9" s="147"/>
      <c r="H9" s="147" t="s">
        <v>93</v>
      </c>
      <c r="I9" s="147" t="s">
        <v>97</v>
      </c>
      <c r="J9" s="148" t="s">
        <v>98</v>
      </c>
      <c r="K9" s="138"/>
      <c r="L9" s="16"/>
      <c r="M9" s="165">
        <v>100</v>
      </c>
      <c r="N9" s="154">
        <v>0</v>
      </c>
    </row>
    <row r="10" spans="1:48">
      <c r="A10" s="143" t="s">
        <v>99</v>
      </c>
      <c r="B10" s="16"/>
      <c r="C10" s="143">
        <v>0</v>
      </c>
      <c r="D10" s="16">
        <v>0</v>
      </c>
      <c r="E10" s="147" t="s">
        <v>100</v>
      </c>
      <c r="F10" s="149" t="s">
        <v>91</v>
      </c>
      <c r="G10" s="147"/>
      <c r="H10" s="147" t="s">
        <v>92</v>
      </c>
      <c r="I10" s="147" t="s">
        <v>97</v>
      </c>
      <c r="J10" s="148" t="s">
        <v>98</v>
      </c>
      <c r="K10" s="138" t="s">
        <v>101</v>
      </c>
      <c r="L10" s="16">
        <v>0</v>
      </c>
      <c r="M10" s="165">
        <v>100</v>
      </c>
      <c r="N10" s="154">
        <v>0</v>
      </c>
    </row>
    <row r="11" spans="1:48">
      <c r="A11" s="144" t="s">
        <v>99</v>
      </c>
      <c r="B11" s="23"/>
      <c r="C11" s="144">
        <v>0</v>
      </c>
      <c r="D11" s="23"/>
      <c r="E11" s="150" t="s">
        <v>100</v>
      </c>
      <c r="F11" s="151" t="s">
        <v>91</v>
      </c>
      <c r="G11" s="150"/>
      <c r="H11" s="150" t="s">
        <v>92</v>
      </c>
      <c r="I11" s="150" t="s">
        <v>97</v>
      </c>
      <c r="J11" s="152" t="s">
        <v>98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102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103</v>
      </c>
      <c r="B18" s="10" t="s">
        <v>104</v>
      </c>
      <c r="C18" s="10" t="s">
        <v>105</v>
      </c>
      <c r="D18" s="10" t="s">
        <v>106</v>
      </c>
      <c r="E18" s="10" t="s">
        <v>107</v>
      </c>
      <c r="F18" s="10" t="s">
        <v>108</v>
      </c>
      <c r="G18" s="10" t="s">
        <v>109</v>
      </c>
      <c r="H18" s="10" t="s">
        <v>110</v>
      </c>
      <c r="I18" s="10" t="s">
        <v>111</v>
      </c>
      <c r="J18" s="10" t="s">
        <v>112</v>
      </c>
      <c r="K18" s="10" t="s">
        <v>113</v>
      </c>
      <c r="L18" s="10" t="s">
        <v>114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30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24000</v>
      </c>
    </row>
    <row r="31" spans="1:48">
      <c r="A31" s="5" t="s">
        <v>121</v>
      </c>
      <c r="B31" s="158">
        <v>5000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4500000</v>
      </c>
    </row>
    <row r="46" spans="1:48" customHeight="1" ht="30">
      <c r="A46" s="57" t="s">
        <v>135</v>
      </c>
      <c r="B46" s="161">
        <v>120000</v>
      </c>
    </row>
    <row r="47" spans="1:48" customHeight="1" ht="30">
      <c r="A47" s="57" t="s">
        <v>136</v>
      </c>
      <c r="B47" s="161">
        <v>350000</v>
      </c>
    </row>
    <row r="48" spans="1:48" customHeight="1" ht="30">
      <c r="A48" s="57" t="s">
        <v>137</v>
      </c>
      <c r="B48" s="161">
        <v>150000</v>
      </c>
    </row>
    <row r="49" spans="1:48" customHeight="1" ht="30">
      <c r="A49" s="57" t="s">
        <v>138</v>
      </c>
      <c r="B49" s="161">
        <v>250000</v>
      </c>
    </row>
    <row r="50" spans="1:48">
      <c r="A50" s="43"/>
      <c r="B50" s="36"/>
    </row>
    <row r="51" spans="1:48">
      <c r="A51" s="58" t="s">
        <v>139</v>
      </c>
      <c r="B51" s="161">
        <v>2000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3100</v>
      </c>
      <c r="B56" s="159">
        <v>0</v>
      </c>
      <c r="C56" s="162" t="s">
        <v>147</v>
      </c>
      <c r="D56" s="163" t="s">
        <v>148</v>
      </c>
      <c r="E56" s="163" t="s">
        <v>93</v>
      </c>
      <c r="F56" s="163" t="s">
        <v>149</v>
      </c>
    </row>
    <row r="57" spans="1:48">
      <c r="A57" s="157">
        <v>15000</v>
      </c>
      <c r="B57" s="157">
        <v>0</v>
      </c>
      <c r="C57" s="164" t="s">
        <v>150</v>
      </c>
      <c r="D57" s="165" t="s">
        <v>151</v>
      </c>
      <c r="E57" s="165" t="s">
        <v>93</v>
      </c>
      <c r="F57" s="165" t="s">
        <v>152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154</v>
      </c>
      <c r="C65" s="10" t="s">
        <v>155</v>
      </c>
    </row>
    <row r="66" spans="1:48">
      <c r="A66" s="142" t="s">
        <v>156</v>
      </c>
      <c r="B66" s="159">
        <v>23699</v>
      </c>
      <c r="C66" s="163">
        <v>23747</v>
      </c>
      <c r="D66" s="49">
        <f>INDEX(Parameters!$D$79:$D$90,MATCH(Inputs!A66,Parameters!$C$79:$C$90,0))</f>
        <v>12</v>
      </c>
    </row>
    <row r="67" spans="1:48">
      <c r="A67" s="143" t="s">
        <v>157</v>
      </c>
      <c r="B67" s="157">
        <v>238179</v>
      </c>
      <c r="C67" s="165">
        <v>238130</v>
      </c>
      <c r="D67" s="49">
        <f>INDEX(Parameters!$D$79:$D$90,MATCH(Inputs!A67,Parameters!$C$79:$C$90,0))</f>
        <v>11</v>
      </c>
    </row>
    <row r="68" spans="1:48">
      <c r="A68" s="143" t="s">
        <v>158</v>
      </c>
      <c r="B68" s="157">
        <v>89163</v>
      </c>
      <c r="C68" s="165">
        <v>90191</v>
      </c>
      <c r="D68" s="49">
        <f>INDEX(Parameters!$D$79:$D$90,MATCH(Inputs!A68,Parameters!$C$79:$C$90,0))</f>
        <v>10</v>
      </c>
    </row>
    <row r="69" spans="1:48">
      <c r="A69" s="143" t="s">
        <v>159</v>
      </c>
      <c r="B69" s="157">
        <v>201853</v>
      </c>
      <c r="C69" s="165">
        <v>252790</v>
      </c>
      <c r="D69" s="49">
        <f>INDEX(Parameters!$D$79:$D$90,MATCH(Inputs!A69,Parameters!$C$79:$C$90,0))</f>
        <v>9</v>
      </c>
    </row>
    <row r="70" spans="1:48">
      <c r="A70" s="143" t="s">
        <v>160</v>
      </c>
      <c r="B70" s="157">
        <v>128417</v>
      </c>
      <c r="C70" s="165">
        <v>139007</v>
      </c>
      <c r="D70" s="49">
        <f>INDEX(Parameters!$D$79:$D$90,MATCH(Inputs!A70,Parameters!$C$79:$C$90,0))</f>
        <v>8</v>
      </c>
    </row>
    <row r="71" spans="1:48">
      <c r="A71" s="144" t="s">
        <v>161</v>
      </c>
      <c r="B71" s="158">
        <v>110791</v>
      </c>
      <c r="C71" s="167">
        <v>100176</v>
      </c>
      <c r="D71" s="49">
        <f>INDEX(Parameters!$D$79:$D$90,MATCH(Inputs!A71,Parameters!$C$79:$C$90,0))</f>
        <v>7</v>
      </c>
    </row>
    <row r="73" spans="1:48">
      <c r="A73" s="3" t="s">
        <v>162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163</v>
      </c>
      <c r="B75" s="161">
        <v>7</v>
      </c>
    </row>
    <row r="76" spans="1:48">
      <c r="A76" t="s">
        <v>164</v>
      </c>
      <c r="B76" s="168" t="s">
        <v>165</v>
      </c>
    </row>
    <row r="78" spans="1:48" customHeight="1" ht="20.25">
      <c r="B78" s="127" t="s">
        <v>166</v>
      </c>
    </row>
    <row r="79" spans="1:48">
      <c r="A79" t="s">
        <v>167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168</v>
      </c>
      <c r="B80" s="168" t="s">
        <v>169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170</v>
      </c>
      <c r="B81" s="161">
        <v>150000</v>
      </c>
    </row>
    <row r="82" spans="1:48">
      <c r="A82" t="s">
        <v>171</v>
      </c>
      <c r="B82" s="161">
        <v>20</v>
      </c>
    </row>
    <row r="83" spans="1:48">
      <c r="A83" t="s">
        <v>172</v>
      </c>
      <c r="B83" s="169" t="s">
        <v>173</v>
      </c>
    </row>
    <row r="84" spans="1:48">
      <c r="A84" t="s">
        <v>174</v>
      </c>
      <c r="B84" s="169">
        <v>1</v>
      </c>
    </row>
    <row r="85" spans="1:48">
      <c r="A85" t="s">
        <v>175</v>
      </c>
      <c r="B85" s="169">
        <v>12</v>
      </c>
    </row>
    <row r="86" spans="1:48">
      <c r="A86" t="s">
        <v>176</v>
      </c>
      <c r="B86" s="161"/>
    </row>
    <row r="87" spans="1:48">
      <c r="A87" t="s">
        <v>177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178</v>
      </c>
      <c r="C3" s="15" t="s">
        <v>179</v>
      </c>
      <c r="D3" s="15" t="s">
        <v>180</v>
      </c>
      <c r="E3" s="15" t="s">
        <v>181</v>
      </c>
      <c r="F3" s="15" t="s">
        <v>182</v>
      </c>
      <c r="G3" s="15" t="s">
        <v>183</v>
      </c>
      <c r="H3" s="15" t="s">
        <v>184</v>
      </c>
      <c r="I3" s="15" t="s">
        <v>185</v>
      </c>
      <c r="J3" s="15" t="s">
        <v>186</v>
      </c>
      <c r="K3" s="15" t="s">
        <v>187</v>
      </c>
      <c r="L3" s="15" t="s">
        <v>188</v>
      </c>
      <c r="M3" s="15" t="s">
        <v>189</v>
      </c>
      <c r="N3" s="15" t="s">
        <v>190</v>
      </c>
      <c r="O3" s="15" t="s">
        <v>191</v>
      </c>
      <c r="P3" s="15" t="s">
        <v>192</v>
      </c>
      <c r="Q3" s="32" t="s">
        <v>193</v>
      </c>
      <c r="R3" s="15" t="s">
        <v>194</v>
      </c>
      <c r="S3" s="15" t="s">
        <v>195</v>
      </c>
      <c r="T3" s="15" t="s">
        <v>196</v>
      </c>
      <c r="U3" s="178" t="s">
        <v>87</v>
      </c>
      <c r="V3" s="32" t="s">
        <v>197</v>
      </c>
      <c r="W3" s="32" t="s">
        <v>198</v>
      </c>
      <c r="X3" s="32" t="s">
        <v>199</v>
      </c>
      <c r="Y3" s="32" t="s">
        <v>200</v>
      </c>
      <c r="Z3" s="32" t="s">
        <v>43</v>
      </c>
      <c r="AA3" s="32" t="s">
        <v>201</v>
      </c>
      <c r="AB3" s="32" t="s">
        <v>202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43132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43282</v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3798.469544640734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1212</v>
      </c>
      <c r="W4" s="33">
        <f>IFERROR(J4*H4*Parameters!$B$35+IF(OR(Inputs!F7=Parameters!$E$78,Inputs!F7=Parameters!$E$80),Calculations!H4*Parameters!$B$36,0),0)</f>
        <v>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33600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Coffee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267.3672210925292</v>
      </c>
      <c r="M5" s="30">
        <f>L5*H5</f>
        <v>267.3672210925292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44.8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5250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17500</v>
      </c>
      <c r="AC5" s="22">
        <f>IF($A5=0,1/12,IFERROR(INDEX(Parameters!$X$2:$AI$17,MATCH(Calculations!$A5,Parameters!$A$2:$A$17,0),MONTH(Calculations!AC$3)),1/12))</f>
        <v>0.1282051282051282</v>
      </c>
      <c r="AD5" s="22">
        <f>IF($A5=0,1/12,IFERROR(INDEX(Parameters!$X$2:$AI$17,MATCH(Calculations!$A5,Parameters!$A$2:$A$17,0),MONTH(Calculations!AD$3)),1/12))</f>
        <v>0.1282051282051282</v>
      </c>
      <c r="AE5" s="22">
        <f>IF($A5=0,1/12,IFERROR(INDEX(Parameters!$X$2:$AI$17,MATCH(Calculations!$A5,Parameters!$A$2:$A$17,0),MONTH(Calculations!AE$3)),1/12))</f>
        <v>0.1025641025641026</v>
      </c>
      <c r="AF5" s="22">
        <f>IF($A5=0,1/12,IFERROR(INDEX(Parameters!$X$2:$AI$17,MATCH(Calculations!$A5,Parameters!$A$2:$A$17,0),MONTH(Calculations!AF$3)),1/12))</f>
        <v>0.05128205128205128</v>
      </c>
      <c r="AG5" s="22">
        <f>IF($A5=0,1/12,IFERROR(INDEX(Parameters!$X$2:$AI$17,MATCH(Calculations!$A5,Parameters!$A$2:$A$17,0),MONTH(Calculations!AG$3)),1/12))</f>
        <v>0</v>
      </c>
      <c r="AH5" s="22">
        <f>IF($A5=0,1/12,IFERROR(INDEX(Parameters!$X$2:$AI$17,MATCH(Calculations!$A5,Parameters!$A$2:$A$17,0),MONTH(Calculations!AH$3)),1/12))</f>
        <v>0.1282051282051282</v>
      </c>
      <c r="AI5" s="22">
        <f>IF($A5=0,1/12,IFERROR(INDEX(Parameters!$X$2:$AI$17,MATCH(Calculations!$A5,Parameters!$A$2:$A$17,0),MONTH(Calculations!AI$3)),1/12))</f>
        <v>0.1282051282051282</v>
      </c>
      <c r="AJ5" s="22">
        <f>IF($A5=0,1/12,IFERROR(INDEX(Parameters!$X$2:$AI$17,MATCH(Calculations!$A5,Parameters!$A$2:$A$17,0),MONTH(Calculations!AJ$3)),1/12))</f>
        <v>0.05128205128205128</v>
      </c>
      <c r="AK5" s="22">
        <f>IF($A5=0,1/12,IFERROR(INDEX(Parameters!$X$2:$AI$17,MATCH(Calculations!$A5,Parameters!$A$2:$A$17,0),MONTH(Calculations!AK$3)),1/12))</f>
        <v>0</v>
      </c>
      <c r="AL5" s="22">
        <f>IF($A5=0,1/12,IFERROR(INDEX(Parameters!$X$2:$AI$17,MATCH(Calculations!$A5,Parameters!$A$2:$A$17,0),MONTH(Calculations!AL$3)),1/12))</f>
        <v>0.05128205128205128</v>
      </c>
      <c r="AM5" s="22">
        <f>IF($A5=0,1/12,IFERROR(INDEX(Parameters!$X$2:$AI$17,MATCH(Calculations!$A5,Parameters!$A$2:$A$17,0),MONTH(Calculations!AM$3)),1/12))</f>
        <v>0.1025641025641026</v>
      </c>
      <c r="AN5" s="22">
        <f>IF($A5=0,1/12,IFERROR(INDEX(Parameters!$X$2:$AI$17,MATCH(Calculations!$A5,Parameters!$A$2:$A$17,0),MONTH(Calculations!AN$3)),1/12))</f>
        <v>0.1282051282051282</v>
      </c>
      <c r="AO5" s="22">
        <f>IF($A5=0,1/12,IFERROR(INDEX(Parameters!$X$2:$AI$17,MATCH(Calculations!$A5,Parameters!$A$2:$A$17,0),MONTH(Calculations!AO$3)),1/12))</f>
        <v>0.1282051282051282</v>
      </c>
      <c r="AP5" s="22">
        <f>IF($A5=0,1/12,IFERROR(INDEX(Parameters!$X$2:$AI$17,MATCH(Calculations!$A5,Parameters!$A$2:$A$17,0),MONTH(Calculations!AP$3)),1/12))</f>
        <v>0.1282051282051282</v>
      </c>
      <c r="AQ5" s="22">
        <f>IF($A5=0,1/12,IFERROR(INDEX(Parameters!$X$2:$AI$17,MATCH(Calculations!$A5,Parameters!$A$2:$A$17,0),MONTH(Calculations!AQ$3)),1/12))</f>
        <v>0.1025641025641026</v>
      </c>
      <c r="AR5" s="22">
        <f>IF($A5=0,1/12,IFERROR(INDEX(Parameters!$X$2:$AI$17,MATCH(Calculations!$A5,Parameters!$A$2:$A$17,0),MONTH(Calculations!AR$3)),1/12))</f>
        <v>0.05128205128205128</v>
      </c>
      <c r="AS5" s="22">
        <f>IF($A5=0,1/12,IFERROR(INDEX(Parameters!$X$2:$AI$17,MATCH(Calculations!$A5,Parameters!$A$2:$A$17,0),MONTH(Calculations!AS$3)),1/12))</f>
        <v>0</v>
      </c>
      <c r="AT5" s="22">
        <f>IF($A5=0,1/12,IFERROR(INDEX(Parameters!$X$2:$AI$17,MATCH(Calculations!$A5,Parameters!$A$2:$A$17,0),MONTH(Calculations!AT$3)),1/12))</f>
        <v>0.1282051282051282</v>
      </c>
      <c r="AU5" s="22">
        <f>IF($A5=0,1/12,IFERROR(INDEX(Parameters!$X$2:$AI$17,MATCH(Calculations!$A5,Parameters!$A$2:$A$17,0),MONTH(Calculations!AU$3)),1/12))</f>
        <v>0.1282051282051282</v>
      </c>
      <c r="AV5" s="22">
        <f>IF($A5=0,1/12,IFERROR(INDEX(Parameters!$X$2:$AI$17,MATCH(Calculations!$A5,Parameters!$A$2:$A$17,0),MONTH(Calculations!AV$3)),1/12))</f>
        <v>0.05128205128205128</v>
      </c>
      <c r="AW5" s="22">
        <f>IF($A5=0,1/12,IFERROR(INDEX(Parameters!$X$2:$AI$17,MATCH(Calculations!$A5,Parameters!$A$2:$A$17,0),MONTH(Calculations!AW$3)),1/12))</f>
        <v>0</v>
      </c>
      <c r="AX5" s="22">
        <f>IF($A5=0,1/12,IFERROR(INDEX(Parameters!$X$2:$AI$17,MATCH(Calculations!$A5,Parameters!$A$2:$A$17,0),MONTH(Calculations!AX$3)),1/12))</f>
        <v>0.05128205128205128</v>
      </c>
      <c r="AY5" s="22">
        <f>IF($A5=0,1/12,IFERROR(INDEX(Parameters!$X$2:$AI$17,MATCH(Calculations!$A5,Parameters!$A$2:$A$17,0),MONTH(Calculations!AY$3)),1/12))</f>
        <v>0.1025641025641026</v>
      </c>
      <c r="AZ5" s="22">
        <f>IF($A5=0,1/12,IFERROR(INDEX(Parameters!$X$2:$AI$17,MATCH(Calculations!$A5,Parameters!$A$2:$A$17,0),MONTH(Calculations!AZ$3)),1/12))</f>
        <v>0.1282051282051282</v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103</v>
      </c>
      <c r="B13" s="15" t="s">
        <v>35</v>
      </c>
      <c r="C13" s="15" t="s">
        <v>203</v>
      </c>
      <c r="D13" s="15" t="s">
        <v>204</v>
      </c>
      <c r="E13" s="15" t="s">
        <v>205</v>
      </c>
      <c r="F13" s="15" t="s">
        <v>206</v>
      </c>
      <c r="G13" s="15" t="s">
        <v>207</v>
      </c>
      <c r="H13" s="15" t="s">
        <v>208</v>
      </c>
      <c r="I13" s="15" t="s">
        <v>209</v>
      </c>
      <c r="J13" s="15" t="s">
        <v>210</v>
      </c>
      <c r="K13" s="15" t="s">
        <v>211</v>
      </c>
      <c r="L13" s="15" t="s">
        <v>212</v>
      </c>
      <c r="M13" s="178" t="s">
        <v>213</v>
      </c>
      <c r="N13" s="178" t="s">
        <v>214</v>
      </c>
      <c r="O13" s="62" t="s">
        <v>215</v>
      </c>
      <c r="P13" s="62" t="s">
        <v>216</v>
      </c>
      <c r="Q13" s="62" t="s">
        <v>217</v>
      </c>
      <c r="R13" s="62" t="s">
        <v>218</v>
      </c>
      <c r="S13" s="62" t="s">
        <v>219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220</v>
      </c>
      <c r="C22" s="74" t="s">
        <v>221</v>
      </c>
      <c r="D22" s="74" t="s">
        <v>222</v>
      </c>
      <c r="E22" s="74" t="s">
        <v>223</v>
      </c>
    </row>
    <row r="23" spans="1:52">
      <c r="A23" s="75">
        <f>Inputs!A56</f>
        <v>3100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15000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225</v>
      </c>
      <c r="B32" s="129" t="s">
        <v>226</v>
      </c>
      <c r="C32" s="129" t="s">
        <v>227</v>
      </c>
      <c r="D32" s="129" t="s">
        <v>228</v>
      </c>
      <c r="F32" s="132" t="s">
        <v>229</v>
      </c>
      <c r="G32" s="132" t="s">
        <v>230</v>
      </c>
      <c r="I32" s="174" t="s">
        <v>231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43157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43132</v>
      </c>
      <c r="F33" t="s">
        <v>167</v>
      </c>
      <c r="G33" s="128">
        <f>IF(Inputs!B79="","",DATE(YEAR(Inputs!B79),MONTH(Inputs!B79),DAY(Inputs!B79)))</f>
        <v>43126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43185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43160</v>
      </c>
      <c r="F34" t="s">
        <v>168</v>
      </c>
      <c r="G34" s="128">
        <f>IF(Inputs!B80="","",DATE(YEAR(Inputs!B80),MONTH(Inputs!B80),DAY(Inputs!B80)))</f>
        <v>43157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43216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43191</v>
      </c>
      <c r="F35" t="s">
        <v>170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43246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43221</v>
      </c>
      <c r="F36" t="s">
        <v>171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43277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43252</v>
      </c>
      <c r="F37" t="s">
        <v>232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43307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43282</v>
      </c>
      <c r="F38" t="s">
        <v>233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43338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43313</v>
      </c>
      <c r="F39" t="s">
        <v>176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43369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43344</v>
      </c>
      <c r="F40" t="s">
        <v>177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43399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43374</v>
      </c>
      <c r="F41" t="s">
        <v>234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43430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43405</v>
      </c>
      <c r="F42" t="s">
        <v>235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43460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43491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236</v>
      </c>
      <c r="C3" s="10" t="s">
        <v>237</v>
      </c>
      <c r="D3" s="10" t="s">
        <v>238</v>
      </c>
      <c r="E3" s="10" t="s">
        <v>239</v>
      </c>
      <c r="F3" s="10" t="s">
        <v>240</v>
      </c>
      <c r="G3" s="10" t="s">
        <v>241</v>
      </c>
      <c r="H3" s="10" t="s">
        <v>242</v>
      </c>
      <c r="I3" s="10" t="s">
        <v>243</v>
      </c>
      <c r="J3" s="10" t="s">
        <v>244</v>
      </c>
      <c r="K3" s="10" t="s">
        <v>245</v>
      </c>
      <c r="L3" s="10" t="s">
        <v>246</v>
      </c>
      <c r="M3" s="10" t="s">
        <v>247</v>
      </c>
      <c r="N3" s="10" t="s">
        <v>248</v>
      </c>
      <c r="O3" s="10" t="s">
        <v>249</v>
      </c>
      <c r="P3" s="10" t="s">
        <v>250</v>
      </c>
      <c r="Q3" s="10" t="s">
        <v>251</v>
      </c>
      <c r="R3" s="10" t="s">
        <v>252</v>
      </c>
      <c r="S3" s="10" t="s">
        <v>253</v>
      </c>
      <c r="T3" s="10" t="s">
        <v>254</v>
      </c>
      <c r="U3" s="10" t="s">
        <v>194</v>
      </c>
      <c r="V3" s="10" t="s">
        <v>192</v>
      </c>
      <c r="W3" s="10" t="s">
        <v>255</v>
      </c>
      <c r="X3" s="10" t="s">
        <v>256</v>
      </c>
      <c r="Y3" s="10" t="s">
        <v>257</v>
      </c>
      <c r="Z3" s="10" t="s">
        <v>258</v>
      </c>
      <c r="AA3" s="10" t="s">
        <v>259</v>
      </c>
      <c r="AB3" s="10" t="s">
        <v>260</v>
      </c>
      <c r="AC3" s="10" t="s">
        <v>261</v>
      </c>
      <c r="AD3" s="10" t="s">
        <v>262</v>
      </c>
      <c r="AE3" s="10" t="s">
        <v>263</v>
      </c>
      <c r="AF3" s="10" t="s">
        <v>264</v>
      </c>
      <c r="AG3" s="10" t="s">
        <v>265</v>
      </c>
      <c r="AH3" s="10" t="s">
        <v>266</v>
      </c>
      <c r="AI3" s="10" t="s">
        <v>267</v>
      </c>
    </row>
    <row r="4" spans="1:36" s="93" customFormat="1">
      <c r="A4" s="93" t="s">
        <v>268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95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103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208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270</v>
      </c>
      <c r="D24" s="115" t="s">
        <v>270</v>
      </c>
      <c r="E24" s="106">
        <v>0.05</v>
      </c>
      <c r="F24" s="106">
        <v>0.1</v>
      </c>
      <c r="G24" s="106">
        <v>0.2</v>
      </c>
      <c r="H24" s="116" t="s">
        <v>270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303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270</v>
      </c>
      <c r="J25" s="72" t="s">
        <v>270</v>
      </c>
      <c r="K25" s="72" t="s">
        <v>270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306</v>
      </c>
      <c r="B26" s="16" t="s">
        <v>302</v>
      </c>
      <c r="C26" s="116" t="s">
        <v>270</v>
      </c>
      <c r="D26" s="115" t="s">
        <v>270</v>
      </c>
      <c r="E26" s="106">
        <v>0.2</v>
      </c>
      <c r="F26" s="106">
        <v>0.7</v>
      </c>
      <c r="G26" s="106">
        <v>2</v>
      </c>
      <c r="H26" s="116" t="s">
        <v>270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307</v>
      </c>
      <c r="B27" s="71" t="s">
        <v>302</v>
      </c>
      <c r="C27" s="116" t="s">
        <v>270</v>
      </c>
      <c r="D27" s="115" t="s">
        <v>270</v>
      </c>
      <c r="E27" s="106">
        <v>0.15</v>
      </c>
      <c r="F27" s="106">
        <v>0.25</v>
      </c>
      <c r="G27" s="106">
        <v>1</v>
      </c>
      <c r="H27" s="116" t="s">
        <v>270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302</v>
      </c>
      <c r="C28" s="116" t="s">
        <v>270</v>
      </c>
      <c r="D28" s="115" t="s">
        <v>270</v>
      </c>
      <c r="E28" s="106">
        <v>0.15</v>
      </c>
      <c r="F28" s="106">
        <v>0.25</v>
      </c>
      <c r="G28" s="106">
        <v>1</v>
      </c>
      <c r="H28" s="116" t="s">
        <v>270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309</v>
      </c>
      <c r="B29" s="118" t="s">
        <v>302</v>
      </c>
      <c r="C29" s="31" t="s">
        <v>270</v>
      </c>
      <c r="D29" s="31" t="s">
        <v>270</v>
      </c>
      <c r="E29" s="24">
        <v>0.1</v>
      </c>
      <c r="F29" s="24">
        <v>0.2</v>
      </c>
      <c r="G29" s="24">
        <v>0</v>
      </c>
      <c r="H29" s="31" t="s">
        <v>270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310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311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312</v>
      </c>
      <c r="B34" s="11" t="s">
        <v>313</v>
      </c>
    </row>
    <row r="35" spans="1:36">
      <c r="A35" t="s">
        <v>314</v>
      </c>
      <c r="B35" s="72">
        <v>60</v>
      </c>
      <c r="C35" s="86"/>
    </row>
    <row r="36" spans="1:36">
      <c r="A36" t="s">
        <v>315</v>
      </c>
      <c r="B36" s="72">
        <v>2000</v>
      </c>
      <c r="C36" s="86"/>
    </row>
    <row r="37" spans="1:36">
      <c r="A37" t="s">
        <v>316</v>
      </c>
      <c r="B37" s="2">
        <v>0.4</v>
      </c>
    </row>
    <row r="39" spans="1:36">
      <c r="A39" s="3" t="s">
        <v>317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318</v>
      </c>
      <c r="C40" s="193"/>
    </row>
    <row r="41" spans="1:36">
      <c r="A41" s="5" t="s">
        <v>103</v>
      </c>
      <c r="B41" s="191" t="s">
        <v>93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303</v>
      </c>
      <c r="B44" s="72">
        <v>50000</v>
      </c>
      <c r="C44" s="72">
        <v>200000</v>
      </c>
    </row>
    <row r="45" spans="1:36">
      <c r="A45" t="s">
        <v>306</v>
      </c>
      <c r="B45" s="72">
        <v>25000</v>
      </c>
      <c r="C45" s="72">
        <v>50000</v>
      </c>
    </row>
    <row r="46" spans="1:36">
      <c r="A46" t="s">
        <v>307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309</v>
      </c>
      <c r="B48" s="72">
        <v>20000</v>
      </c>
      <c r="C48" s="72">
        <v>20000</v>
      </c>
      <c r="D48" s="72"/>
    </row>
    <row r="50" spans="1:36">
      <c r="A50" s="3" t="s">
        <v>319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320</v>
      </c>
      <c r="H52" s="12" t="s">
        <v>132</v>
      </c>
      <c r="I52" s="12" t="s">
        <v>321</v>
      </c>
      <c r="AJ52" s="12"/>
    </row>
    <row r="53" spans="1:36" customHeight="1" ht="30">
      <c r="A53" s="11" t="s">
        <v>322</v>
      </c>
      <c r="B53" s="11" t="s">
        <v>323</v>
      </c>
      <c r="C53" s="11" t="s">
        <v>324</v>
      </c>
      <c r="D53" s="10" t="s">
        <v>236</v>
      </c>
      <c r="E53" s="10" t="s">
        <v>195</v>
      </c>
      <c r="F53" s="10" t="s">
        <v>255</v>
      </c>
      <c r="G53" s="10" t="s">
        <v>325</v>
      </c>
      <c r="H53" s="10" t="s">
        <v>326</v>
      </c>
      <c r="I53" s="10" t="s">
        <v>326</v>
      </c>
      <c r="AJ53" s="12"/>
    </row>
    <row r="54" spans="1:36">
      <c r="A54">
        <v>8</v>
      </c>
      <c r="B54" s="12" t="s">
        <v>327</v>
      </c>
      <c r="C54" s="12" t="s">
        <v>328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329</v>
      </c>
      <c r="C55" s="12" t="s">
        <v>328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330</v>
      </c>
      <c r="C56" s="116" t="s">
        <v>331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332</v>
      </c>
      <c r="C57" s="116" t="s">
        <v>328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333</v>
      </c>
      <c r="C58" s="116" t="s">
        <v>328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334</v>
      </c>
      <c r="C59" s="116" t="s">
        <v>331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335</v>
      </c>
      <c r="C60" s="116" t="s">
        <v>331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336</v>
      </c>
      <c r="C61" s="116" t="s">
        <v>331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337</v>
      </c>
      <c r="C62" s="116" t="s">
        <v>331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338</v>
      </c>
      <c r="C63" s="116" t="s">
        <v>331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339</v>
      </c>
      <c r="C64" s="116" t="s">
        <v>331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340</v>
      </c>
      <c r="C65" s="12" t="s">
        <v>331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341</v>
      </c>
      <c r="C66" s="12" t="s">
        <v>331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342</v>
      </c>
      <c r="C67" s="12" t="s">
        <v>331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343</v>
      </c>
      <c r="C68" s="12" t="s">
        <v>331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344</v>
      </c>
      <c r="C69" s="12" t="s">
        <v>331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345</v>
      </c>
      <c r="C70" s="12" t="s">
        <v>331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346</v>
      </c>
      <c r="C71" s="12" t="s">
        <v>328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348</v>
      </c>
      <c r="B76" s="11" t="s">
        <v>349</v>
      </c>
      <c r="C76" s="11" t="s">
        <v>173</v>
      </c>
      <c r="D76" s="11" t="s">
        <v>350</v>
      </c>
      <c r="E76" s="11" t="s">
        <v>80</v>
      </c>
      <c r="F76" s="11" t="s">
        <v>351</v>
      </c>
      <c r="G76" s="11" t="s">
        <v>352</v>
      </c>
      <c r="H76" s="11" t="s">
        <v>353</v>
      </c>
      <c r="I76" s="11" t="s">
        <v>232</v>
      </c>
      <c r="J76" s="11" t="s">
        <v>354</v>
      </c>
      <c r="K76" s="11" t="s">
        <v>185</v>
      </c>
      <c r="AJ76" s="12"/>
    </row>
    <row r="77" spans="1:36">
      <c r="A77" t="s">
        <v>92</v>
      </c>
      <c r="B77" s="176">
        <v>0</v>
      </c>
      <c r="C77" s="12" t="s">
        <v>355</v>
      </c>
      <c r="E77" s="12" t="s">
        <v>93</v>
      </c>
      <c r="F77" s="12" t="s">
        <v>93</v>
      </c>
      <c r="G77" s="12" t="s">
        <v>356</v>
      </c>
      <c r="H77" s="12" t="s">
        <v>132</v>
      </c>
      <c r="I77" s="12" t="s">
        <v>357</v>
      </c>
      <c r="J77" s="136" t="s">
        <v>358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101</v>
      </c>
      <c r="D78" s="133"/>
      <c r="E78" s="12" t="s">
        <v>359</v>
      </c>
      <c r="F78" s="12" t="s">
        <v>360</v>
      </c>
      <c r="G78" s="12" t="s">
        <v>361</v>
      </c>
      <c r="H78" s="12" t="s">
        <v>321</v>
      </c>
      <c r="I78" s="12" t="s">
        <v>362</v>
      </c>
      <c r="J78" s="70" t="s">
        <v>363</v>
      </c>
      <c r="K78" s="12" t="s">
        <v>93</v>
      </c>
      <c r="AJ78" s="12"/>
    </row>
    <row r="79" spans="1:36">
      <c r="B79" s="176">
        <v>10</v>
      </c>
      <c r="C79" s="12" t="s">
        <v>364</v>
      </c>
      <c r="D79" s="12">
        <v>1</v>
      </c>
      <c r="E79" s="12" t="s">
        <v>365</v>
      </c>
      <c r="F79" s="12" t="s">
        <v>366</v>
      </c>
      <c r="G79" s="12" t="s">
        <v>367</v>
      </c>
      <c r="I79" s="12" t="s">
        <v>173</v>
      </c>
      <c r="J79" s="70" t="s">
        <v>96</v>
      </c>
      <c r="K79" s="12" t="s">
        <v>93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97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100</v>
      </c>
      <c r="K81" s="12" t="s">
        <v>92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371</v>
      </c>
      <c r="D84" s="12">
        <f>D83+1</f>
        <v>6</v>
      </c>
    </row>
    <row r="85" spans="1:36">
      <c r="B85" s="176">
        <v>70</v>
      </c>
      <c r="C85" s="12" t="s">
        <v>161</v>
      </c>
      <c r="D85" s="12">
        <f>D84+1</f>
        <v>7</v>
      </c>
    </row>
    <row r="86" spans="1:36">
      <c r="B86" s="176">
        <v>80</v>
      </c>
      <c r="C86" s="12" t="s">
        <v>160</v>
      </c>
      <c r="D86" s="12">
        <f>D85+1</f>
        <v>8</v>
      </c>
    </row>
    <row r="87" spans="1:36">
      <c r="B87" s="176">
        <v>89.99999999999999</v>
      </c>
      <c r="C87" s="12" t="s">
        <v>159</v>
      </c>
      <c r="D87" s="12">
        <f>D86+1</f>
        <v>9</v>
      </c>
    </row>
    <row r="88" spans="1:36">
      <c r="B88" s="176">
        <v>99.99999999999999</v>
      </c>
      <c r="C88" s="12" t="s">
        <v>158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