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<sst xmlns="http://schemas.openxmlformats.org/spreadsheetml/2006/main" uniqueCount="368">
  <si>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</si>
  <si>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</si>
  <si>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</si>
  <si>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</si>
  <si>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</si>
  <si>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</si>
  <si>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</si>
  <si>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</si>
  <si>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</si>
  <si>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</si>
  <si>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</si>
  <si>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</si>
  <si>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</si>
  <si>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</si>
  <si>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</si>
  <si>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</si>
  <si>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</si>
  <si>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</si>
  <si>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</si>
  <si>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</si>
  <si>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</si>
  <si>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</si>
  <si>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</si>
  <si>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</si>
  <si>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</si>
  <si>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</si>
  <si>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</si>
  <si>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</si>
  <si>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</si>
  <si>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</si>
  <si>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</si>
  <si>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</si>
  <si>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</si>
  <si>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</si>
  <si>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</si>
  <si>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</si>
  <si>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</si>
  <si>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</si>
  <si>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</si>
  <si>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</si>
  <si>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</si>
  <si>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</si>
  <si>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</si>
  <si>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</si>
  <si>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</si>
  <si>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</si>
  <si>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</si>
  <si>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</si>
  <si>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</si>
  <si>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</si>
  <si>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</si>
  <si>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</si>
  <si>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</si>
  <si>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</si>
  <si>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</si>
  <si>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</si>
  <si>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</si>
  <si>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</si>
  <si>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</si>
  <si>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</si>
  <si>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</si>
  <si>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</si>
  <si>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</si>
  <si>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</si>
  <si>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</si>
  <si>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</si>
  <si>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</si>
  <si>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</si>
  <si>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</si>
  <si>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</si>
  <si>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</si>
  <si>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</si>
  <si>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</si>
  <si>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</si>
  <si>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</si>
  <si>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</si>
  <si>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</si>
  <si>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</si>
  <si>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</si>
  <si>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</si>
  <si>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</si>
  <si>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</si>
  <si>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</si>
  <si>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</si>
  <si>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</si>
  <si>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</si>
  <si>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</si>
  <si>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</si>
  <si>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</si>
  <si>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</si>
  <si>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</si>
  <si>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</si>
  <si>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</si>
  <si>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</si>
  <si>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February</t>
  </si>
  <si>
    <t>Other crops</t>
  </si>
  <si>
    <t>January</t>
  </si>
  <si>
    <t>Onions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</si>
  <si>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</si>
  <si>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</si>
  <si>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</si>
  <si>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</si>
  <si>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</si>
  <si>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</si>
  <si>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</si>
  <si>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</si>
  <si>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</si>
  <si>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</si>
  <si>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</si>
  <si>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</si>
  <si>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</si>
  <si>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</si>
  <si>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</si>
  <si>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</si>
  <si>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</si>
  <si>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n/a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</si>
  <si>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</si>
  <si>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</si>
  <si>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</si>
  <si>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</si>
  <si>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</si>
  <si>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</si>
  <si>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</si>
  <si>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</si>
  <si>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</si>
  <si>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</si>
  <si>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</si>
  <si>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</si>
  <si>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March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</si>
  <si>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</si>
  <si>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</si>
  <si>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</si>
  <si>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</si>
  <si>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</si>
  <si>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</si>
  <si>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</si>
  <si>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</si>
  <si>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</si>
  <si>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</si>
  <si>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</si>
  <si>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</si>
  <si>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</si>
  <si>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</si>
  <si>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</si>
  <si>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</si>
  <si>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6/30/2011</t>
  </si>
  <si>
    <t>HELB</t>
  </si>
  <si>
    <t>Still paying the installments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</si>
  <si>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</si>
  <si>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</si>
  <si>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</si>
  <si>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</si>
  <si>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</si>
  <si>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</si>
  <si>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</si>
  <si>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</si>
  <si>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</si>
  <si>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</si>
  <si>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</si>
  <si>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</si>
  <si>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2018/1/31</t>
  </si>
  <si>
    <t>Loan terms</t>
  </si>
  <si>
    <t>Expected disbursement date</t>
  </si>
  <si>
    <t>Expected first repayment date</t>
  </si>
  <si>
    <t>2018/3/7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</si>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</sst>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Onions,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n/a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2.113916290868771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>
        <f>IFERROR(Output!B107/Output!B101,"")</f>
        <v>0.5199093333333333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33750</v>
      </c>
    </row>
    <row r="17" spans="1:7">
      <c r="B17" s="1" t="s">
        <v>11</v>
      </c>
      <c r="C17" s="36">
        <f>SUM(Output!B6:M6)</f>
        <v>-138913.7740968047</v>
      </c>
    </row>
    <row r="18" spans="1:7">
      <c r="B18" s="1" t="s">
        <v>12</v>
      </c>
      <c r="C18" s="36">
        <f>MIN(Output!B6:M6)</f>
        <v>-500015.9014390664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147303.3593539316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227000</v>
      </c>
    </row>
    <row r="25" spans="1:7">
      <c r="B25" s="1" t="s">
        <v>18</v>
      </c>
      <c r="C25" s="36">
        <f>MAX(Inputs!A56:A60)</f>
        <v>227000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61517.20516011852</v>
      </c>
      <c r="C6" s="51">
        <f>C30-C88</f>
        <v>-31015.9014390664</v>
      </c>
      <c r="D6" s="51">
        <f>D30-D88</f>
        <v>-500015.9014390664</v>
      </c>
      <c r="E6" s="51">
        <f>E30-E88</f>
        <v>-42015.9014390664</v>
      </c>
      <c r="F6" s="51">
        <f>F30-F88</f>
        <v>50770.25275474668</v>
      </c>
      <c r="G6" s="51">
        <f>G30-G88</f>
        <v>147303.3593539316</v>
      </c>
      <c r="H6" s="51">
        <f>H30-H88</f>
        <v>69517.20516011852</v>
      </c>
      <c r="I6" s="51">
        <f>I30-I88</f>
        <v>-31015.9014390664</v>
      </c>
      <c r="J6" s="51">
        <f>J30-J88</f>
        <v>-20015.9014390664</v>
      </c>
      <c r="K6" s="51">
        <f>K30-K88</f>
        <v>-42015.9014390664</v>
      </c>
      <c r="L6" s="51">
        <f>L30-L88</f>
        <v>50770.25275474668</v>
      </c>
      <c r="M6" s="51">
        <f>M30-M88</f>
        <v>147303.3593539316</v>
      </c>
      <c r="N6" s="51">
        <f>N30-N88</f>
        <v>61517.20516011852</v>
      </c>
      <c r="O6" s="51">
        <f>O30-O88</f>
        <v>-31015.9014390664</v>
      </c>
      <c r="P6" s="51">
        <f>P30-P88</f>
        <v>-500015.9014390664</v>
      </c>
      <c r="Q6" s="51">
        <f>Q30-Q88</f>
        <v>-42015.9014390664</v>
      </c>
      <c r="R6" s="51">
        <f>R30-R88</f>
        <v>50770.25275474668</v>
      </c>
      <c r="S6" s="51">
        <f>S30-S88</f>
        <v>147303.3593539316</v>
      </c>
      <c r="T6" s="51">
        <f>T30-T88</f>
        <v>69517.20516011852</v>
      </c>
      <c r="U6" s="51">
        <f>U30-U88</f>
        <v>-31015.9014390664</v>
      </c>
      <c r="V6" s="51">
        <f>V30-V88</f>
        <v>-20015.9014390664</v>
      </c>
      <c r="W6" s="51">
        <f>W30-W88</f>
        <v>-42015.9014390664</v>
      </c>
      <c r="X6" s="51">
        <f>X30-X88</f>
        <v>50770.25275474668</v>
      </c>
      <c r="Y6" s="51">
        <f>Y30-Y88</f>
        <v>147303.3593539316</v>
      </c>
      <c r="Z6" s="51">
        <f>SUMIF($B$13:$Y$13,"Yes",B6:Y6)</f>
        <v>-108412.4703757525</v>
      </c>
      <c r="AA6" s="51">
        <f>AA30-AA88</f>
        <v>-138913.7740968047</v>
      </c>
      <c r="AB6" s="51">
        <f>AB30-AB88</f>
        <v>-277827.5481936103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-1300</v>
      </c>
      <c r="I7" s="80">
        <f>IF(ISERROR(VLOOKUP(MONTH(I5),Inputs!$D$66:$D$71,1,0)),"",INDEX(Inputs!$B$66:$B$71,MATCH(MONTH(Output!I5),Inputs!$D$66:$D$71,0))-INDEX(Inputs!$C$66:$C$71,MATCH(MONTH(Output!I5),Inputs!$D$66:$D$71,0)))</f>
        <v>9498</v>
      </c>
      <c r="J7" s="80">
        <f>IF(ISERROR(VLOOKUP(MONTH(J5),Inputs!$D$66:$D$71,1,0)),"",INDEX(Inputs!$B$66:$B$71,MATCH(MONTH(Output!J5),Inputs!$D$66:$D$71,0))-INDEX(Inputs!$C$66:$C$71,MATCH(MONTH(Output!J5),Inputs!$D$66:$D$71,0)))</f>
        <v>1719</v>
      </c>
      <c r="K7" s="80">
        <f>IF(ISERROR(VLOOKUP(MONTH(K5),Inputs!$D$66:$D$71,1,0)),"",INDEX(Inputs!$B$66:$B$71,MATCH(MONTH(Output!K5),Inputs!$D$66:$D$71,0))-INDEX(Inputs!$C$66:$C$71,MATCH(MONTH(Output!K5),Inputs!$D$66:$D$71,0)))</f>
        <v>-1143</v>
      </c>
      <c r="L7" s="80">
        <f>IF(ISERROR(VLOOKUP(MONTH(L5),Inputs!$D$66:$D$71,1,0)),"",INDEX(Inputs!$B$66:$B$71,MATCH(MONTH(Output!L5),Inputs!$D$66:$D$71,0))-INDEX(Inputs!$C$66:$C$71,MATCH(MONTH(Output!L5),Inputs!$D$66:$D$71,0)))</f>
        <v>71213</v>
      </c>
      <c r="M7" s="80">
        <f>IF(ISERROR(VLOOKUP(MONTH(M5),Inputs!$D$66:$D$71,1,0)),"",INDEX(Inputs!$B$66:$B$71,MATCH(MONTH(Output!M5),Inputs!$D$66:$D$71,0))-INDEX(Inputs!$C$66:$C$71,MATCH(MONTH(Output!M5),Inputs!$D$66:$D$71,0)))</f>
        <v>-69826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-1300</v>
      </c>
      <c r="U7" s="80">
        <f>IF(ISERROR(VLOOKUP(MONTH(U5),Inputs!$D$66:$D$71,1,0)),"",INDEX(Inputs!$B$66:$B$71,MATCH(MONTH(Output!U5),Inputs!$D$66:$D$71,0))-INDEX(Inputs!$C$66:$C$71,MATCH(MONTH(Output!U5),Inputs!$D$66:$D$71,0)))</f>
        <v>9498</v>
      </c>
      <c r="V7" s="80">
        <f>IF(ISERROR(VLOOKUP(MONTH(V5),Inputs!$D$66:$D$71,1,0)),"",INDEX(Inputs!$B$66:$B$71,MATCH(MONTH(Output!V5),Inputs!$D$66:$D$71,0))-INDEX(Inputs!$C$66:$C$71,MATCH(MONTH(Output!V5),Inputs!$D$66:$D$71,0)))</f>
        <v>1719</v>
      </c>
      <c r="W7" s="80">
        <f>IF(ISERROR(VLOOKUP(MONTH(W5),Inputs!$D$66:$D$71,1,0)),"",INDEX(Inputs!$B$66:$B$71,MATCH(MONTH(Output!W5),Inputs!$D$66:$D$71,0))-INDEX(Inputs!$C$66:$C$71,MATCH(MONTH(Output!W5),Inputs!$D$66:$D$71,0)))</f>
        <v>-1143</v>
      </c>
      <c r="X7" s="80">
        <f>IF(ISERROR(VLOOKUP(MONTH(X5),Inputs!$D$66:$D$71,1,0)),"",INDEX(Inputs!$B$66:$B$71,MATCH(MONTH(Output!X5),Inputs!$D$66:$D$71,0))-INDEX(Inputs!$C$66:$C$71,MATCH(MONTH(Output!X5),Inputs!$D$66:$D$71,0)))</f>
        <v>71213</v>
      </c>
      <c r="Y7" s="80">
        <f>IF(ISERROR(VLOOKUP(MONTH(Y5),Inputs!$D$66:$D$71,1,0)),"",INDEX(Inputs!$B$66:$B$71,MATCH(MONTH(Output!Y5),Inputs!$D$66:$D$71,0))-INDEX(Inputs!$C$66:$C$71,MATCH(MONTH(Output!Y5),Inputs!$D$66:$D$71,0)))</f>
        <v>-69826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33750</v>
      </c>
      <c r="E10" s="37">
        <f>SUMPRODUCT((Calculations!$D$33:$D$84=Output!E5)+0,Calculations!$C$33:$C$84)</f>
        <v>33750</v>
      </c>
      <c r="F10" s="37">
        <f>SUMPRODUCT((Calculations!$D$33:$D$84=Output!F5)+0,Calculations!$C$33:$C$84)</f>
        <v>33750</v>
      </c>
      <c r="G10" s="37">
        <f>SUMPRODUCT((Calculations!$D$33:$D$84=Output!G5)+0,Calculations!$C$33:$C$84)</f>
        <v>33750</v>
      </c>
      <c r="H10" s="37">
        <f>SUMPRODUCT((Calculations!$D$33:$D$84=Output!H5)+0,Calculations!$C$33:$C$84)</f>
        <v>33750</v>
      </c>
      <c r="I10" s="37">
        <f>SUMPRODUCT((Calculations!$D$33:$D$84=Output!I5)+0,Calculations!$C$33:$C$84)</f>
        <v>33750</v>
      </c>
      <c r="J10" s="37">
        <f>SUMPRODUCT((Calculations!$D$33:$D$84=Output!J5)+0,Calculations!$C$33:$C$84)</f>
        <v>33750</v>
      </c>
      <c r="K10" s="37">
        <f>SUMPRODUCT((Calculations!$D$33:$D$84=Output!K5)+0,Calculations!$C$33:$C$84)</f>
        <v>33750</v>
      </c>
      <c r="L10" s="37">
        <f>SUMPRODUCT((Calculations!$D$33:$D$84=Output!L5)+0,Calculations!$C$33:$C$84)</f>
        <v>33750</v>
      </c>
      <c r="M10" s="37">
        <f>SUMPRODUCT((Calculations!$D$33:$D$84=Output!M5)+0,Calculations!$C$33:$C$84)</f>
        <v>33750</v>
      </c>
      <c r="N10" s="37">
        <f>SUMPRODUCT((Calculations!$D$33:$D$84=Output!N5)+0,Calculations!$C$33:$C$84)</f>
        <v>33750</v>
      </c>
      <c r="O10" s="37">
        <f>SUMPRODUCT((Calculations!$D$33:$D$84=Output!O5)+0,Calculations!$C$33:$C$84)</f>
        <v>33750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405000</v>
      </c>
      <c r="AA10" s="37">
        <f>SUM(B10:M10)</f>
        <v>337500</v>
      </c>
      <c r="AB10" s="37">
        <f>SUM(B10:Y10)</f>
        <v>405000</v>
      </c>
    </row>
    <row r="11" spans="1:30" customHeight="1" ht="15.75">
      <c r="A11" s="43" t="s">
        <v>31</v>
      </c>
      <c r="B11" s="80">
        <f>B6+B9-B10</f>
        <v>361517.2051601185</v>
      </c>
      <c r="C11" s="80">
        <f>C6+C9-C10</f>
        <v>-31015.9014390664</v>
      </c>
      <c r="D11" s="80">
        <f>D6+D9-D10</f>
        <v>-533765.9014390664</v>
      </c>
      <c r="E11" s="80">
        <f>E6+E9-E10</f>
        <v>-75765.90143906639</v>
      </c>
      <c r="F11" s="80">
        <f>F6+F9-F10</f>
        <v>17020.25275474668</v>
      </c>
      <c r="G11" s="80">
        <f>G6+G9-G10</f>
        <v>113553.3593539316</v>
      </c>
      <c r="H11" s="80">
        <f>H6+H9-H10</f>
        <v>35767.20516011852</v>
      </c>
      <c r="I11" s="80">
        <f>I6+I9-I10</f>
        <v>-64765.9014390664</v>
      </c>
      <c r="J11" s="80">
        <f>J6+J9-J10</f>
        <v>-53765.9014390664</v>
      </c>
      <c r="K11" s="80">
        <f>K6+K9-K10</f>
        <v>-75765.90143906639</v>
      </c>
      <c r="L11" s="80">
        <f>L6+L9-L10</f>
        <v>17020.25275474668</v>
      </c>
      <c r="M11" s="80">
        <f>M6+M9-M10</f>
        <v>113553.3593539316</v>
      </c>
      <c r="N11" s="80">
        <f>N6+N9-N10</f>
        <v>27767.20516011852</v>
      </c>
      <c r="O11" s="80">
        <f>O6+O9-O10</f>
        <v>-64765.9014390664</v>
      </c>
      <c r="P11" s="80">
        <f>P6+P9-P10</f>
        <v>-500015.9014390664</v>
      </c>
      <c r="Q11" s="80">
        <f>Q6+Q9-Q10</f>
        <v>-42015.9014390664</v>
      </c>
      <c r="R11" s="80">
        <f>R6+R9-R10</f>
        <v>50770.25275474668</v>
      </c>
      <c r="S11" s="80">
        <f>S6+S9-S10</f>
        <v>147303.3593539316</v>
      </c>
      <c r="T11" s="80">
        <f>T6+T9-T10</f>
        <v>69517.20516011852</v>
      </c>
      <c r="U11" s="80">
        <f>U6+U9-U10</f>
        <v>-31015.9014390664</v>
      </c>
      <c r="V11" s="80">
        <f>V6+V9-V10</f>
        <v>-20015.9014390664</v>
      </c>
      <c r="W11" s="80">
        <f>W6+W9-W10</f>
        <v>-42015.9014390664</v>
      </c>
      <c r="X11" s="80">
        <f>X6+X9-X10</f>
        <v>50770.25275474668</v>
      </c>
      <c r="Y11" s="80">
        <f>Y6+Y9-Y10</f>
        <v>147303.3593539316</v>
      </c>
      <c r="Z11" s="85">
        <f>SUMIF($B$13:$Y$13,"Yes",B11:Y11)</f>
        <v>-213412.4703757525</v>
      </c>
      <c r="AA11" s="80">
        <f>SUM(B11:M11)</f>
        <v>-176413.7740968047</v>
      </c>
      <c r="AB11" s="46">
        <f>SUM(B11:Y11)</f>
        <v>-382827.5481936093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3.010150596429322</v>
      </c>
      <c r="I12" s="82">
        <f>IF(I13="Yes",IF(SUM($B$10:I10)/(SUM($B$6:I6)+SUM($B$9:I9))&lt;0,999.99,SUM($B$10:I10)/(SUM($B$6:I6)+SUM($B$9:I9))),"")</f>
        <v>8.08563452073307</v>
      </c>
      <c r="J12" s="82">
        <f>IF(J13="Yes",IF(SUM($B$10:J10)/(SUM($B$6:J6)+SUM($B$9:J9))&lt;0,999.99,SUM($B$10:J10)/(SUM($B$6:J6)+SUM($B$9:J9))),"")</f>
        <v>46.98205912198153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22.03823122819299</v>
      </c>
      <c r="M12" s="82">
        <f>IF(M13="Yes",IF(SUM($B$10:M10)/(SUM($B$6:M6)+SUM($B$9:M9))&lt;0,999.99,SUM($B$10:M10)/(SUM($B$6:M6)+SUM($B$9:M9))),"")</f>
        <v>2.095151203075677</v>
      </c>
      <c r="N12" s="82">
        <f>IF(N13="Yes",IF(SUM($B$10:N10)/(SUM($B$6:N6)+SUM($B$9:N9))&lt;0,999.99,SUM($B$10:N10)/(SUM($B$6:N6)+SUM($B$9:N9))),"")</f>
        <v>1.667764051194734</v>
      </c>
      <c r="O12" s="82">
        <f>IF(O13="Yes",IF(SUM($B$10:O10)/(SUM($B$6:O6)+SUM($B$9:O9))&lt;0,999.99,SUM($B$10:O10)/(SUM($B$6:O6)+SUM($B$9:O9))),"")</f>
        <v>2.113916290868771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70786.15419381308</v>
      </c>
      <c r="G18" s="36">
        <f>S18</f>
        <v>70786.15419381308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70786.15419381308</v>
      </c>
      <c r="M18" s="36">
        <f>Y18</f>
        <v>70786.15419381308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70786.15419381308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70786.15419381308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70786.15419381308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70786.15419381308</v>
      </c>
      <c r="Z18" s="36">
        <f>SUMIF($B$13:$Y$13,"Yes",B18:Y18)</f>
        <v>283144.6167752523</v>
      </c>
      <c r="AA18" s="36">
        <f>SUM(B18:M18)</f>
        <v>283144.6167752523</v>
      </c>
      <c r="AB18" s="36">
        <f>SUM(B18:Y18)</f>
        <v>566289.2335505047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Onions</v>
      </c>
      <c r="B20" s="36">
        <f>N20</f>
        <v>77933.10659918492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77933.10659918492</v>
      </c>
      <c r="H20" s="36">
        <f>T20</f>
        <v>77933.10659918492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77933.10659918492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77933.10659918492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77933.10659918492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77933.10659918492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77933.10659918492</v>
      </c>
      <c r="Z20" s="36">
        <f>SUMIF($B$13:$Y$13,"Yes",B20:Y20)</f>
        <v>389665.5329959246</v>
      </c>
      <c r="AA20" s="36">
        <f>SUM(B20:M20)</f>
        <v>311732.4263967397</v>
      </c>
      <c r="AB20" s="36">
        <f>SUM(B20:Y20)</f>
        <v>623464.8527934793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</v>
      </c>
      <c r="C29" s="37">
        <f>Inputs!$B$30</f>
        <v>5000</v>
      </c>
      <c r="D29" s="37">
        <f>Inputs!$B$30</f>
        <v>5000</v>
      </c>
      <c r="E29" s="37">
        <f>Inputs!$B$30</f>
        <v>5000</v>
      </c>
      <c r="F29" s="37">
        <f>Inputs!$B$30</f>
        <v>5000</v>
      </c>
      <c r="G29" s="37">
        <f>Inputs!$B$30</f>
        <v>5000</v>
      </c>
      <c r="H29" s="37">
        <f>Inputs!$B$30</f>
        <v>5000</v>
      </c>
      <c r="I29" s="37">
        <f>Inputs!$B$30</f>
        <v>5000</v>
      </c>
      <c r="J29" s="37">
        <f>Inputs!$B$30</f>
        <v>5000</v>
      </c>
      <c r="K29" s="37">
        <f>Inputs!$B$30</f>
        <v>5000</v>
      </c>
      <c r="L29" s="37">
        <f>Inputs!$B$30</f>
        <v>5000</v>
      </c>
      <c r="M29" s="37">
        <f>Inputs!$B$30</f>
        <v>5000</v>
      </c>
      <c r="N29" s="37">
        <f>Inputs!$B$30</f>
        <v>5000</v>
      </c>
      <c r="O29" s="37">
        <f>Inputs!$B$30</f>
        <v>5000</v>
      </c>
      <c r="P29" s="37">
        <f>Inputs!$B$30</f>
        <v>5000</v>
      </c>
      <c r="Q29" s="37">
        <f>Inputs!$B$30</f>
        <v>5000</v>
      </c>
      <c r="R29" s="37">
        <f>Inputs!$B$30</f>
        <v>5000</v>
      </c>
      <c r="S29" s="37">
        <f>Inputs!$B$30</f>
        <v>5000</v>
      </c>
      <c r="T29" s="37">
        <f>Inputs!$B$30</f>
        <v>5000</v>
      </c>
      <c r="U29" s="37">
        <f>Inputs!$B$30</f>
        <v>5000</v>
      </c>
      <c r="V29" s="37">
        <f>Inputs!$B$30</f>
        <v>5000</v>
      </c>
      <c r="W29" s="37">
        <f>Inputs!$B$30</f>
        <v>5000</v>
      </c>
      <c r="X29" s="37">
        <f>Inputs!$B$30</f>
        <v>5000</v>
      </c>
      <c r="Y29" s="37">
        <f>Inputs!$B$30</f>
        <v>5000</v>
      </c>
      <c r="Z29" s="37">
        <f>SUMIF($B$13:$Y$13,"Yes",B29:Y29)</f>
        <v>70000</v>
      </c>
      <c r="AA29" s="37">
        <f>SUM(B29:M29)</f>
        <v>60000</v>
      </c>
      <c r="AB29" s="37">
        <f>SUM(B29:Y29)</f>
        <v>120000</v>
      </c>
    </row>
    <row r="30" spans="1:30" customHeight="1" ht="15.75">
      <c r="A30" s="1" t="s">
        <v>37</v>
      </c>
      <c r="B30" s="19">
        <f>SUM(B18:B29)</f>
        <v>82933.10659918492</v>
      </c>
      <c r="C30" s="19">
        <f>SUM(C18:C29)</f>
        <v>5000</v>
      </c>
      <c r="D30" s="19">
        <f>SUM(D18:D29)</f>
        <v>5000</v>
      </c>
      <c r="E30" s="19">
        <f>SUM(E18:E29)</f>
        <v>5000</v>
      </c>
      <c r="F30" s="19">
        <f>SUM(F18:F29)</f>
        <v>75786.15419381308</v>
      </c>
      <c r="G30" s="19">
        <f>SUM(G18:G29)</f>
        <v>153719.260792998</v>
      </c>
      <c r="H30" s="19">
        <f>SUM(H18:H29)</f>
        <v>82933.10659918492</v>
      </c>
      <c r="I30" s="19">
        <f>SUM(I18:I29)</f>
        <v>5000</v>
      </c>
      <c r="J30" s="19">
        <f>SUM(J18:J29)</f>
        <v>5000</v>
      </c>
      <c r="K30" s="19">
        <f>SUM(K18:K29)</f>
        <v>5000</v>
      </c>
      <c r="L30" s="19">
        <f>SUM(L18:L29)</f>
        <v>75786.15419381308</v>
      </c>
      <c r="M30" s="19">
        <f>SUM(M18:M29)</f>
        <v>153719.260792998</v>
      </c>
      <c r="N30" s="19">
        <f>SUM(N18:N29)</f>
        <v>82933.10659918492</v>
      </c>
      <c r="O30" s="19">
        <f>SUM(O18:O29)</f>
        <v>5000</v>
      </c>
      <c r="P30" s="19">
        <f>SUM(P18:P29)</f>
        <v>5000</v>
      </c>
      <c r="Q30" s="19">
        <f>SUM(Q18:Q29)</f>
        <v>5000</v>
      </c>
      <c r="R30" s="19">
        <f>SUM(R18:R29)</f>
        <v>75786.15419381308</v>
      </c>
      <c r="S30" s="19">
        <f>SUM(S18:S29)</f>
        <v>153719.260792998</v>
      </c>
      <c r="T30" s="19">
        <f>SUM(T18:T29)</f>
        <v>82933.10659918492</v>
      </c>
      <c r="U30" s="19">
        <f>SUM(U18:U29)</f>
        <v>5000</v>
      </c>
      <c r="V30" s="19">
        <f>SUM(V18:V29)</f>
        <v>5000</v>
      </c>
      <c r="W30" s="19">
        <f>SUM(W18:W29)</f>
        <v>5000</v>
      </c>
      <c r="X30" s="19">
        <f>SUM(X18:X29)</f>
        <v>75786.15419381308</v>
      </c>
      <c r="Y30" s="19">
        <f>SUM(Y18:Y29)</f>
        <v>153719.260792998</v>
      </c>
      <c r="Z30" s="19">
        <f>SUMIF($B$13:$Y$13,"Yes",B30:Y30)</f>
        <v>742810.149771177</v>
      </c>
      <c r="AA30" s="19">
        <f>SUM(B30:M30)</f>
        <v>654877.0431719921</v>
      </c>
      <c r="AB30" s="19">
        <f>SUM(B30:Y30)</f>
        <v>1309754.086343984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12000</v>
      </c>
      <c r="C36" s="36">
        <f>O36</f>
        <v>8000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4000</v>
      </c>
      <c r="I36" s="36">
        <f>U36</f>
        <v>8000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12000</v>
      </c>
      <c r="O36" s="36">
        <f>SUM(O37:O41)</f>
        <v>8000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4000</v>
      </c>
      <c r="U36" s="36">
        <f>SUM(U37:U41)</f>
        <v>8000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52000</v>
      </c>
      <c r="AA36" s="36">
        <f>SUM(B36:M36)</f>
        <v>32000</v>
      </c>
      <c r="AB36" s="36">
        <f>SUM(B36:Y36)</f>
        <v>64000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8000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8000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8000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8000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24000</v>
      </c>
      <c r="AA37" s="36">
        <f>SUM(B37:M37)</f>
        <v>16000</v>
      </c>
      <c r="AB37" s="36">
        <f>SUM(B37:Y37)</f>
        <v>32000</v>
      </c>
      <c r="AC37" s="73"/>
    </row>
    <row r="38" spans="1:30" hidden="true" outlineLevel="1">
      <c r="A38" s="181" t="str">
        <f>Calculations!$A$5</f>
        <v>Other crops</v>
      </c>
      <c r="B38" s="36">
        <f>N38</f>
        <v>8000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8000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16000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 t="str">
        <f>Calculations!$A$6</f>
        <v>Onions</v>
      </c>
      <c r="B39" s="36">
        <f>N39</f>
        <v>4000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4000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4000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4000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12000</v>
      </c>
      <c r="AA39" s="36">
        <f>SUM(B39:M39)</f>
        <v>8000</v>
      </c>
      <c r="AB39" s="36">
        <f>SUM(B39:Y39)</f>
        <v>16000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3000</v>
      </c>
      <c r="C42" s="36">
        <f>O42</f>
        <v>3000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3000</v>
      </c>
      <c r="I42" s="36">
        <f>U42</f>
        <v>3000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3000</v>
      </c>
      <c r="O42" s="36">
        <f>SUM(O43:O47)</f>
        <v>3000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3000</v>
      </c>
      <c r="U42" s="36">
        <f>SUM(U43:U47)</f>
        <v>3000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18000</v>
      </c>
      <c r="AA42" s="36">
        <f>SUM(B42:M42)</f>
        <v>12000</v>
      </c>
      <c r="AB42" s="36">
        <f>SUM(B42:Y42)</f>
        <v>24000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3000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3000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3000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3000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9000</v>
      </c>
      <c r="AA43" s="36">
        <f>SUM(B43:M43)</f>
        <v>6000</v>
      </c>
      <c r="AB43" s="36">
        <f>SUM(B43:Y43)</f>
        <v>12000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Onions</v>
      </c>
      <c r="B45" s="36">
        <f>N45</f>
        <v>3000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3000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3000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3000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9000</v>
      </c>
      <c r="AA45" s="36">
        <f>SUM(B45:M45)</f>
        <v>6000</v>
      </c>
      <c r="AB45" s="36">
        <f>SUM(B45:Y45)</f>
        <v>12000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22000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22000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22000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22000</v>
      </c>
      <c r="X48" s="46">
        <f>SUM(X49:X53)</f>
        <v>0</v>
      </c>
      <c r="Y48" s="46">
        <f>SUM(Y49:Y53)</f>
        <v>0</v>
      </c>
      <c r="Z48" s="46">
        <f>SUMIF($B$13:$Y$13,"Yes",B48:Y48)</f>
        <v>44000</v>
      </c>
      <c r="AA48" s="46">
        <f>SUM(B48:M48)</f>
        <v>44000</v>
      </c>
      <c r="AB48" s="46">
        <f>SUM(B48:Y48)</f>
        <v>88000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18000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18000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18000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18000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36000</v>
      </c>
      <c r="AA49" s="46">
        <f>SUM(B49:M49)</f>
        <v>36000</v>
      </c>
      <c r="AB49" s="46">
        <f>SUM(B49:Y49)</f>
        <v>72000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Onions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4000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4000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4000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4000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8000</v>
      </c>
      <c r="AA51" s="46">
        <f>SUM(B51:M51)</f>
        <v>8000</v>
      </c>
      <c r="AB51" s="46">
        <f>SUM(B51:Y51)</f>
        <v>16000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Onions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2333.333333333333</v>
      </c>
      <c r="C60" s="36">
        <f>O60</f>
        <v>8333.333333333334</v>
      </c>
      <c r="D60" s="36">
        <f>P60</f>
        <v>8333.333333333334</v>
      </c>
      <c r="E60" s="36">
        <f>Q60</f>
        <v>8333.333333333334</v>
      </c>
      <c r="F60" s="36">
        <f>R60</f>
        <v>8333.333333333334</v>
      </c>
      <c r="G60" s="36">
        <f>S60</f>
        <v>2333.333333333333</v>
      </c>
      <c r="H60" s="36">
        <f>T60</f>
        <v>2333.333333333333</v>
      </c>
      <c r="I60" s="36">
        <f>U60</f>
        <v>8333.333333333334</v>
      </c>
      <c r="J60" s="36">
        <f>V60</f>
        <v>8333.333333333334</v>
      </c>
      <c r="K60" s="36">
        <f>W60</f>
        <v>8333.333333333334</v>
      </c>
      <c r="L60" s="36">
        <f>X60</f>
        <v>8333.333333333334</v>
      </c>
      <c r="M60" s="36">
        <f>Y60</f>
        <v>2333.333333333333</v>
      </c>
      <c r="N60" s="46">
        <f>SUM(N61:N65)</f>
        <v>2333.333333333333</v>
      </c>
      <c r="O60" s="46">
        <f>SUM(O61:O65)</f>
        <v>8333.333333333334</v>
      </c>
      <c r="P60" s="46">
        <f>SUM(P61:P65)</f>
        <v>8333.333333333334</v>
      </c>
      <c r="Q60" s="46">
        <f>SUM(Q61:Q65)</f>
        <v>8333.333333333334</v>
      </c>
      <c r="R60" s="46">
        <f>SUM(R61:R65)</f>
        <v>8333.333333333334</v>
      </c>
      <c r="S60" s="46">
        <f>SUM(S61:S65)</f>
        <v>2333.333333333333</v>
      </c>
      <c r="T60" s="46">
        <f>SUM(T61:T65)</f>
        <v>2333.333333333333</v>
      </c>
      <c r="U60" s="46">
        <f>SUM(U61:U65)</f>
        <v>8333.333333333334</v>
      </c>
      <c r="V60" s="46">
        <f>SUM(V61:V65)</f>
        <v>8333.333333333334</v>
      </c>
      <c r="W60" s="46">
        <f>SUM(W61:W65)</f>
        <v>8333.333333333334</v>
      </c>
      <c r="X60" s="46">
        <f>SUM(X61:X65)</f>
        <v>8333.333333333334</v>
      </c>
      <c r="Y60" s="46">
        <f>SUM(Y61:Y65)</f>
        <v>2333.333333333333</v>
      </c>
      <c r="Z60" s="46">
        <f>SUMIF($B$13:$Y$13,"Yes",B60:Y60)</f>
        <v>86666.66666666667</v>
      </c>
      <c r="AA60" s="46">
        <f>SUM(B60:M60)</f>
        <v>76000.00000000001</v>
      </c>
      <c r="AB60" s="46">
        <f>SUM(B60:Y60)</f>
        <v>152000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6000</v>
      </c>
      <c r="D61" s="36">
        <f>P61</f>
        <v>6000</v>
      </c>
      <c r="E61" s="36">
        <f>Q61</f>
        <v>6000</v>
      </c>
      <c r="F61" s="36">
        <f>R61</f>
        <v>6000</v>
      </c>
      <c r="G61" s="36">
        <f>S61</f>
        <v>0</v>
      </c>
      <c r="H61" s="36">
        <f>T61</f>
        <v>0</v>
      </c>
      <c r="I61" s="36">
        <f>U61</f>
        <v>6000</v>
      </c>
      <c r="J61" s="36">
        <f>V61</f>
        <v>6000</v>
      </c>
      <c r="K61" s="36">
        <f>W61</f>
        <v>6000</v>
      </c>
      <c r="L61" s="36">
        <f>X61</f>
        <v>6000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6000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6000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6000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6000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6000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6000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6000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6000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54000</v>
      </c>
      <c r="AA61" s="46">
        <f>SUM(B61:M61)</f>
        <v>48000</v>
      </c>
      <c r="AB61" s="46">
        <f>SUM(B61:Y61)</f>
        <v>96000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Onions</v>
      </c>
      <c r="B63" s="36">
        <f>N63</f>
        <v>2333.333333333333</v>
      </c>
      <c r="C63" s="36">
        <f>O63</f>
        <v>2333.333333333333</v>
      </c>
      <c r="D63" s="36">
        <f>P63</f>
        <v>2333.333333333333</v>
      </c>
      <c r="E63" s="36">
        <f>Q63</f>
        <v>2333.333333333333</v>
      </c>
      <c r="F63" s="36">
        <f>R63</f>
        <v>2333.333333333333</v>
      </c>
      <c r="G63" s="36">
        <f>S63</f>
        <v>2333.333333333333</v>
      </c>
      <c r="H63" s="36">
        <f>T63</f>
        <v>2333.333333333333</v>
      </c>
      <c r="I63" s="36">
        <f>U63</f>
        <v>2333.333333333333</v>
      </c>
      <c r="J63" s="36">
        <f>V63</f>
        <v>2333.333333333333</v>
      </c>
      <c r="K63" s="36">
        <f>W63</f>
        <v>2333.333333333333</v>
      </c>
      <c r="L63" s="36">
        <f>X63</f>
        <v>2333.333333333333</v>
      </c>
      <c r="M63" s="36">
        <f>Y63</f>
        <v>2333.333333333333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2333.333333333333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2333.333333333333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2333.333333333333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2333.333333333333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2333.333333333333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2333.333333333333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2333.333333333333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2333.333333333333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2333.333333333333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2333.333333333333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2333.333333333333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2333.333333333333</v>
      </c>
      <c r="Z63" s="46">
        <f>SUMIF($B$13:$Y$13,"Yes",B63:Y63)</f>
        <v>32666.66666666666</v>
      </c>
      <c r="AA63" s="46">
        <f>SUM(B63:M63)</f>
        <v>28000</v>
      </c>
      <c r="AB63" s="46">
        <f>SUM(B63:Y63)</f>
        <v>56000.00000000001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1800</v>
      </c>
      <c r="C66" s="36">
        <f>O66</f>
        <v>14400</v>
      </c>
      <c r="D66" s="36">
        <f>P66</f>
        <v>14400</v>
      </c>
      <c r="E66" s="36">
        <f>Q66</f>
        <v>14400</v>
      </c>
      <c r="F66" s="36">
        <f>R66</f>
        <v>14400</v>
      </c>
      <c r="G66" s="36">
        <f>S66</f>
        <v>1800</v>
      </c>
      <c r="H66" s="36">
        <f>T66</f>
        <v>1800</v>
      </c>
      <c r="I66" s="36">
        <f>U66</f>
        <v>14400</v>
      </c>
      <c r="J66" s="36">
        <f>V66</f>
        <v>14400</v>
      </c>
      <c r="K66" s="36">
        <f>W66</f>
        <v>14400</v>
      </c>
      <c r="L66" s="36">
        <f>X66</f>
        <v>14400</v>
      </c>
      <c r="M66" s="36">
        <f>Y66</f>
        <v>1800</v>
      </c>
      <c r="N66" s="46">
        <f>SUM(N67:N71)</f>
        <v>1800</v>
      </c>
      <c r="O66" s="46">
        <f>SUM(O67:O71)</f>
        <v>14400</v>
      </c>
      <c r="P66" s="46">
        <f>SUM(P67:P71)</f>
        <v>14400</v>
      </c>
      <c r="Q66" s="46">
        <f>SUM(Q67:Q71)</f>
        <v>14400</v>
      </c>
      <c r="R66" s="46">
        <f>SUM(R67:R71)</f>
        <v>14400</v>
      </c>
      <c r="S66" s="46">
        <f>SUM(S67:S71)</f>
        <v>1800</v>
      </c>
      <c r="T66" s="46">
        <f>SUM(T67:T71)</f>
        <v>1800</v>
      </c>
      <c r="U66" s="46">
        <f>SUM(U67:U71)</f>
        <v>14400</v>
      </c>
      <c r="V66" s="46">
        <f>SUM(V67:V71)</f>
        <v>14400</v>
      </c>
      <c r="W66" s="46">
        <f>SUM(W67:W71)</f>
        <v>14400</v>
      </c>
      <c r="X66" s="46">
        <f>SUM(X67:X71)</f>
        <v>14400</v>
      </c>
      <c r="Y66" s="46">
        <f>SUM(Y67:Y71)</f>
        <v>1800</v>
      </c>
      <c r="Z66" s="46">
        <f>SUMIF($B$13:$Y$13,"Yes",B66:Y66)</f>
        <v>138600</v>
      </c>
      <c r="AA66" s="46">
        <f>SUM(B66:M66)</f>
        <v>122400</v>
      </c>
      <c r="AB66" s="46">
        <f>SUM(B66:Y66)</f>
        <v>244800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12600</v>
      </c>
      <c r="D67" s="36">
        <f>P67</f>
        <v>12600</v>
      </c>
      <c r="E67" s="36">
        <f>Q67</f>
        <v>12600</v>
      </c>
      <c r="F67" s="36">
        <f>R67</f>
        <v>12600</v>
      </c>
      <c r="G67" s="36">
        <f>S67</f>
        <v>0</v>
      </c>
      <c r="H67" s="36">
        <f>T67</f>
        <v>0</v>
      </c>
      <c r="I67" s="36">
        <f>U67</f>
        <v>12600</v>
      </c>
      <c r="J67" s="36">
        <f>V67</f>
        <v>12600</v>
      </c>
      <c r="K67" s="36">
        <f>W67</f>
        <v>12600</v>
      </c>
      <c r="L67" s="36">
        <f>X67</f>
        <v>12600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12600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12600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12600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12600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12600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12600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12600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12600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113400</v>
      </c>
      <c r="AA67" s="46">
        <f>SUM(B67:M67)</f>
        <v>100800</v>
      </c>
      <c r="AB67" s="46">
        <f>SUM(B67:Y67)</f>
        <v>201600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Onions</v>
      </c>
      <c r="B69" s="36">
        <f>N69</f>
        <v>1800</v>
      </c>
      <c r="C69" s="36">
        <f>O69</f>
        <v>1800</v>
      </c>
      <c r="D69" s="36">
        <f>P69</f>
        <v>1800</v>
      </c>
      <c r="E69" s="36">
        <f>Q69</f>
        <v>1800</v>
      </c>
      <c r="F69" s="36">
        <f>R69</f>
        <v>1800</v>
      </c>
      <c r="G69" s="36">
        <f>S69</f>
        <v>1800</v>
      </c>
      <c r="H69" s="36">
        <f>T69</f>
        <v>1800</v>
      </c>
      <c r="I69" s="36">
        <f>U69</f>
        <v>1800</v>
      </c>
      <c r="J69" s="36">
        <f>V69</f>
        <v>1800</v>
      </c>
      <c r="K69" s="36">
        <f>W69</f>
        <v>1800</v>
      </c>
      <c r="L69" s="36">
        <f>X69</f>
        <v>1800</v>
      </c>
      <c r="M69" s="36">
        <f>Y69</f>
        <v>1800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1800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1800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1800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1800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1800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1800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1800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1800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1800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1800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1800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1800</v>
      </c>
      <c r="Z69" s="46">
        <f>SUMIF($B$13:$Y$13,"Yes",B69:Y69)</f>
        <v>25200</v>
      </c>
      <c r="AA69" s="46">
        <f>SUM(B69:M69)</f>
        <v>21600</v>
      </c>
      <c r="AB69" s="46">
        <f>SUM(B69:Y69)</f>
        <v>43200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480000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480000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480000</v>
      </c>
      <c r="AA72" s="46">
        <f>SUM(B72:M72)</f>
        <v>480000</v>
      </c>
      <c r="AB72" s="46">
        <f>SUM(B72:Y72)</f>
        <v>960000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-7717.431894266932</v>
      </c>
      <c r="C81" s="46">
        <f>(SUM($AA$18:$AA$29)-SUM($AA$36,$AA$42,$AA$48,$AA$54,$AA$60,$AA$66,$AA$72:$AA$79))*Parameters!$B$37/12</f>
        <v>-7717.431894266932</v>
      </c>
      <c r="D81" s="46">
        <f>(SUM($AA$18:$AA$29)-SUM($AA$36,$AA$42,$AA$48,$AA$54,$AA$60,$AA$66,$AA$72:$AA$79))*Parameters!$B$37/12</f>
        <v>-7717.431894266932</v>
      </c>
      <c r="E81" s="46">
        <f>(SUM($AA$18:$AA$29)-SUM($AA$36,$AA$42,$AA$48,$AA$54,$AA$60,$AA$66,$AA$72:$AA$79))*Parameters!$B$37/12</f>
        <v>-7717.431894266932</v>
      </c>
      <c r="F81" s="46">
        <f>(SUM($AA$18:$AA$29)-SUM($AA$36,$AA$42,$AA$48,$AA$54,$AA$60,$AA$66,$AA$72:$AA$79))*Parameters!$B$37/12</f>
        <v>-7717.431894266932</v>
      </c>
      <c r="G81" s="46">
        <f>(SUM($AA$18:$AA$29)-SUM($AA$36,$AA$42,$AA$48,$AA$54,$AA$60,$AA$66,$AA$72:$AA$79))*Parameters!$B$37/12</f>
        <v>-7717.431894266932</v>
      </c>
      <c r="H81" s="46">
        <f>(SUM($AA$18:$AA$29)-SUM($AA$36,$AA$42,$AA$48,$AA$54,$AA$60,$AA$66,$AA$72:$AA$79))*Parameters!$B$37/12</f>
        <v>-7717.431894266932</v>
      </c>
      <c r="I81" s="46">
        <f>(SUM($AA$18:$AA$29)-SUM($AA$36,$AA$42,$AA$48,$AA$54,$AA$60,$AA$66,$AA$72:$AA$79))*Parameters!$B$37/12</f>
        <v>-7717.431894266932</v>
      </c>
      <c r="J81" s="46">
        <f>(SUM($AA$18:$AA$29)-SUM($AA$36,$AA$42,$AA$48,$AA$54,$AA$60,$AA$66,$AA$72:$AA$79))*Parameters!$B$37/12</f>
        <v>-7717.431894266932</v>
      </c>
      <c r="K81" s="46">
        <f>(SUM($AA$18:$AA$29)-SUM($AA$36,$AA$42,$AA$48,$AA$54,$AA$60,$AA$66,$AA$72:$AA$79))*Parameters!$B$37/12</f>
        <v>-7717.431894266932</v>
      </c>
      <c r="L81" s="46">
        <f>(SUM($AA$18:$AA$29)-SUM($AA$36,$AA$42,$AA$48,$AA$54,$AA$60,$AA$66,$AA$72:$AA$79))*Parameters!$B$37/12</f>
        <v>-7717.431894266932</v>
      </c>
      <c r="M81" s="46">
        <f>(SUM($AA$18:$AA$29)-SUM($AA$36,$AA$42,$AA$48,$AA$54,$AA$60,$AA$66,$AA$72:$AA$79))*Parameters!$B$37/12</f>
        <v>-7717.431894266932</v>
      </c>
      <c r="N81" s="46">
        <f>(SUM($AA$18:$AA$29)-SUM($AA$36,$AA$42,$AA$48,$AA$54,$AA$60,$AA$66,$AA$72:$AA$79))*Parameters!$B$37/12</f>
        <v>-7717.431894266932</v>
      </c>
      <c r="O81" s="46">
        <f>(SUM($AA$18:$AA$29)-SUM($AA$36,$AA$42,$AA$48,$AA$54,$AA$60,$AA$66,$AA$72:$AA$79))*Parameters!$B$37/12</f>
        <v>-7717.431894266932</v>
      </c>
      <c r="P81" s="46">
        <f>(SUM($AA$18:$AA$29)-SUM($AA$36,$AA$42,$AA$48,$AA$54,$AA$60,$AA$66,$AA$72:$AA$79))*Parameters!$B$37/12</f>
        <v>-7717.431894266932</v>
      </c>
      <c r="Q81" s="46">
        <f>(SUM($AA$18:$AA$29)-SUM($AA$36,$AA$42,$AA$48,$AA$54,$AA$60,$AA$66,$AA$72:$AA$79))*Parameters!$B$37/12</f>
        <v>-7717.431894266932</v>
      </c>
      <c r="R81" s="46">
        <f>(SUM($AA$18:$AA$29)-SUM($AA$36,$AA$42,$AA$48,$AA$54,$AA$60,$AA$66,$AA$72:$AA$79))*Parameters!$B$37/12</f>
        <v>-7717.431894266932</v>
      </c>
      <c r="S81" s="46">
        <f>(SUM($AA$18:$AA$29)-SUM($AA$36,$AA$42,$AA$48,$AA$54,$AA$60,$AA$66,$AA$72:$AA$79))*Parameters!$B$37/12</f>
        <v>-7717.431894266932</v>
      </c>
      <c r="T81" s="46">
        <f>(SUM($AA$18:$AA$29)-SUM($AA$36,$AA$42,$AA$48,$AA$54,$AA$60,$AA$66,$AA$72:$AA$79))*Parameters!$B$37/12</f>
        <v>-7717.431894266932</v>
      </c>
      <c r="U81" s="46">
        <f>(SUM($AA$18:$AA$29)-SUM($AA$36,$AA$42,$AA$48,$AA$54,$AA$60,$AA$66,$AA$72:$AA$79))*Parameters!$B$37/12</f>
        <v>-7717.431894266932</v>
      </c>
      <c r="V81" s="46">
        <f>(SUM($AA$18:$AA$29)-SUM($AA$36,$AA$42,$AA$48,$AA$54,$AA$60,$AA$66,$AA$72:$AA$79))*Parameters!$B$37/12</f>
        <v>-7717.431894266932</v>
      </c>
      <c r="W81" s="46">
        <f>(SUM($AA$18:$AA$29)-SUM($AA$36,$AA$42,$AA$48,$AA$54,$AA$60,$AA$66,$AA$72:$AA$79))*Parameters!$B$37/12</f>
        <v>-7717.431894266932</v>
      </c>
      <c r="X81" s="46">
        <f>(SUM($AA$18:$AA$29)-SUM($AA$36,$AA$42,$AA$48,$AA$54,$AA$60,$AA$66,$AA$72:$AA$79))*Parameters!$B$37/12</f>
        <v>-7717.431894266932</v>
      </c>
      <c r="Y81" s="46">
        <f>(SUM($AA$18:$AA$29)-SUM($AA$36,$AA$42,$AA$48,$AA$54,$AA$60,$AA$66,$AA$72:$AA$79))*Parameters!$B$37/12</f>
        <v>-7717.431894266932</v>
      </c>
      <c r="Z81" s="46">
        <f>SUMIF($B$13:$Y$13,"Yes",B81:Y81)</f>
        <v>-108044.0465197371</v>
      </c>
      <c r="AA81" s="46">
        <f>SUM(B81:M81)</f>
        <v>-92609.1827312032</v>
      </c>
      <c r="AB81" s="46">
        <f>SUM(B81:Y81)</f>
        <v>-185218.3654624063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21415.9014390664</v>
      </c>
      <c r="C88" s="19">
        <f>SUM(C72:C82,C66,C60,C54,C48,C42,C36)</f>
        <v>36015.9014390664</v>
      </c>
      <c r="D88" s="19">
        <f>SUM(D72:D82,D66,D60,D54,D48,D42,D36)</f>
        <v>505015.9014390664</v>
      </c>
      <c r="E88" s="19">
        <f>SUM(E72:E82,E66,E60,E54,E48,E42,E36)</f>
        <v>47015.9014390664</v>
      </c>
      <c r="F88" s="19">
        <f>SUM(F72:F82,F66,F60,F54,F48,F42,F36)</f>
        <v>25015.9014390664</v>
      </c>
      <c r="G88" s="19">
        <f>SUM(G72:G82,G66,G60,G54,G48,G42,G36)</f>
        <v>6415.901439066402</v>
      </c>
      <c r="H88" s="19">
        <f>SUM(H72:H82,H66,H60,H54,H48,H42,H36)</f>
        <v>13415.9014390664</v>
      </c>
      <c r="I88" s="19">
        <f>SUM(I72:I82,I66,I60,I54,I48,I42,I36)</f>
        <v>36015.9014390664</v>
      </c>
      <c r="J88" s="19">
        <f>SUM(J72:J82,J66,J60,J54,J48,J42,J36)</f>
        <v>25015.9014390664</v>
      </c>
      <c r="K88" s="19">
        <f>SUM(K72:K82,K66,K60,K54,K48,K42,K36)</f>
        <v>47015.9014390664</v>
      </c>
      <c r="L88" s="19">
        <f>SUM(L72:L82,L66,L60,L54,L48,L42,L36)</f>
        <v>25015.9014390664</v>
      </c>
      <c r="M88" s="19">
        <f>SUM(M72:M82,M66,M60,M54,M48,M42,M36)</f>
        <v>6415.901439066402</v>
      </c>
      <c r="N88" s="19">
        <f>SUM(N72:N82,N66,N60,N54,N48,N42,N36)</f>
        <v>21415.9014390664</v>
      </c>
      <c r="O88" s="19">
        <f>SUM(O72:O82,O66,O60,O54,O48,O42,O36)</f>
        <v>36015.9014390664</v>
      </c>
      <c r="P88" s="19">
        <f>SUM(P72:P82,P66,P60,P54,P48,P42,P36)</f>
        <v>505015.9014390664</v>
      </c>
      <c r="Q88" s="19">
        <f>SUM(Q72:Q82,Q66,Q60,Q54,Q48,Q42,Q36)</f>
        <v>47015.9014390664</v>
      </c>
      <c r="R88" s="19">
        <f>SUM(R72:R82,R66,R60,R54,R48,R42,R36)</f>
        <v>25015.9014390664</v>
      </c>
      <c r="S88" s="19">
        <f>SUM(S72:S82,S66,S60,S54,S48,S42,S36)</f>
        <v>6415.901439066402</v>
      </c>
      <c r="T88" s="19">
        <f>SUM(T72:T82,T66,T60,T54,T48,T42,T36)</f>
        <v>13415.9014390664</v>
      </c>
      <c r="U88" s="19">
        <f>SUM(U72:U82,U66,U60,U54,U48,U42,U36)</f>
        <v>36015.9014390664</v>
      </c>
      <c r="V88" s="19">
        <f>SUM(V72:V82,V66,V60,V54,V48,V42,V36)</f>
        <v>25015.9014390664</v>
      </c>
      <c r="W88" s="19">
        <f>SUM(W72:W82,W66,W60,W54,W48,W42,W36)</f>
        <v>47015.9014390664</v>
      </c>
      <c r="X88" s="19">
        <f>SUM(X72:X82,X66,X60,X54,X48,X42,X36)</f>
        <v>25015.9014390664</v>
      </c>
      <c r="Y88" s="19">
        <f>SUM(Y72:Y82,Y66,Y60,Y54,Y48,Y42,Y36)</f>
        <v>6415.901439066402</v>
      </c>
      <c r="Z88" s="19">
        <f>SUMIF($B$13:$Y$13,"Yes",B88:Y88)</f>
        <v>851222.6201469295</v>
      </c>
      <c r="AA88" s="19">
        <f>SUM(B88:M88)</f>
        <v>793790.8172687967</v>
      </c>
      <c r="AB88" s="19">
        <f>SUM(B88:Y88)</f>
        <v>1587581.634537594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600000</v>
      </c>
    </row>
    <row r="101" spans="1:30" customHeight="1" ht="15.75">
      <c r="A101" s="1" t="s">
        <v>67</v>
      </c>
      <c r="B101" s="19">
        <f>SUM(B94:B100)</f>
        <v>1500000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474864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779864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80</v>
      </c>
      <c r="N7" s="153">
        <v>1</v>
      </c>
      <c r="P7" s="41"/>
    </row>
    <row r="8" spans="1:48">
      <c r="A8" s="143" t="s">
        <v>95</v>
      </c>
      <c r="B8" s="16"/>
      <c r="C8" s="143">
        <v>4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50</v>
      </c>
      <c r="N8" s="154">
        <v>1</v>
      </c>
    </row>
    <row r="9" spans="1:48">
      <c r="A9" s="143" t="s">
        <v>97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96</v>
      </c>
      <c r="K9" s="138"/>
      <c r="L9" s="16"/>
      <c r="M9" s="165">
        <v>60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40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5000</v>
      </c>
    </row>
    <row r="31" spans="1:48">
      <c r="A31" s="5" t="s">
        <v>117</v>
      </c>
      <c r="B31" s="158">
        <v>10000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125</v>
      </c>
    </row>
    <row r="41" spans="1:48">
      <c r="A41" s="55" t="s">
        <v>126</v>
      </c>
      <c r="B41" s="140">
        <v>480000</v>
      </c>
    </row>
    <row r="42" spans="1:48">
      <c r="A42" s="55" t="s">
        <v>127</v>
      </c>
      <c r="B42" s="139" t="s">
        <v>128</v>
      </c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500000</v>
      </c>
    </row>
    <row r="46" spans="1:48" customHeight="1" ht="30">
      <c r="A46" s="57" t="s">
        <v>133</v>
      </c>
      <c r="B46" s="161">
        <v>150000</v>
      </c>
    </row>
    <row r="47" spans="1:48" customHeight="1" ht="30">
      <c r="A47" s="57" t="s">
        <v>134</v>
      </c>
      <c r="B47" s="161">
        <v>200000</v>
      </c>
    </row>
    <row r="48" spans="1:48" customHeight="1" ht="30">
      <c r="A48" s="57" t="s">
        <v>135</v>
      </c>
      <c r="B48" s="161">
        <v>600000</v>
      </c>
    </row>
    <row r="49" spans="1:48" customHeight="1" ht="30">
      <c r="A49" s="57" t="s">
        <v>136</v>
      </c>
      <c r="B49" s="161">
        <v>50000</v>
      </c>
    </row>
    <row r="50" spans="1:48">
      <c r="A50" s="43"/>
      <c r="B50" s="36"/>
    </row>
    <row r="51" spans="1:48">
      <c r="A51" s="58" t="s">
        <v>137</v>
      </c>
      <c r="B51" s="161">
        <v>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227000</v>
      </c>
      <c r="B56" s="159">
        <v>474864</v>
      </c>
      <c r="C56" s="162" t="s">
        <v>145</v>
      </c>
      <c r="D56" s="163" t="s">
        <v>146</v>
      </c>
      <c r="E56" s="163" t="s">
        <v>125</v>
      </c>
      <c r="F56" s="163" t="s">
        <v>147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149</v>
      </c>
      <c r="C65" s="10" t="s">
        <v>150</v>
      </c>
    </row>
    <row r="66" spans="1:48">
      <c r="A66" s="142" t="s">
        <v>151</v>
      </c>
      <c r="B66" s="159">
        <v>213000</v>
      </c>
      <c r="C66" s="163">
        <v>214300</v>
      </c>
      <c r="D66" s="49">
        <f>INDEX(Parameters!$D$79:$D$90,MATCH(Inputs!A66,Parameters!$C$79:$C$90,0))</f>
        <v>7</v>
      </c>
    </row>
    <row r="67" spans="1:48">
      <c r="A67" s="143" t="s">
        <v>152</v>
      </c>
      <c r="B67" s="157">
        <v>808050</v>
      </c>
      <c r="C67" s="165">
        <v>798552</v>
      </c>
      <c r="D67" s="49">
        <f>INDEX(Parameters!$D$79:$D$90,MATCH(Inputs!A67,Parameters!$C$79:$C$90,0))</f>
        <v>8</v>
      </c>
    </row>
    <row r="68" spans="1:48">
      <c r="A68" s="143" t="s">
        <v>153</v>
      </c>
      <c r="B68" s="157">
        <v>430335</v>
      </c>
      <c r="C68" s="165">
        <v>428616</v>
      </c>
      <c r="D68" s="49">
        <f>INDEX(Parameters!$D$79:$D$90,MATCH(Inputs!A68,Parameters!$C$79:$C$90,0))</f>
        <v>9</v>
      </c>
    </row>
    <row r="69" spans="1:48">
      <c r="A69" s="143" t="s">
        <v>154</v>
      </c>
      <c r="B69" s="157">
        <v>391470</v>
      </c>
      <c r="C69" s="165">
        <v>392613</v>
      </c>
      <c r="D69" s="49">
        <f>INDEX(Parameters!$D$79:$D$90,MATCH(Inputs!A69,Parameters!$C$79:$C$90,0))</f>
        <v>10</v>
      </c>
    </row>
    <row r="70" spans="1:48">
      <c r="A70" s="143" t="s">
        <v>155</v>
      </c>
      <c r="B70" s="157">
        <v>651137</v>
      </c>
      <c r="C70" s="165">
        <v>579924</v>
      </c>
      <c r="D70" s="49">
        <f>INDEX(Parameters!$D$79:$D$90,MATCH(Inputs!A70,Parameters!$C$79:$C$90,0))</f>
        <v>11</v>
      </c>
    </row>
    <row r="71" spans="1:48">
      <c r="A71" s="144" t="s">
        <v>156</v>
      </c>
      <c r="B71" s="158">
        <v>406630</v>
      </c>
      <c r="C71" s="167">
        <v>476456</v>
      </c>
      <c r="D71" s="49">
        <f>INDEX(Parameters!$D$79:$D$90,MATCH(Inputs!A71,Parameters!$C$79:$C$90,0))</f>
        <v>12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12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300000</v>
      </c>
    </row>
    <row r="82" spans="1:48">
      <c r="A82" t="s">
        <v>166</v>
      </c>
      <c r="B82" s="161">
        <v>35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43221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43405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20224.6154839466</v>
      </c>
      <c r="N4" s="22">
        <f>Calculations!U4</f>
        <v>0.8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283144.6167752523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0.8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3000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18000</v>
      </c>
      <c r="Z4" s="33">
        <f>IF(Inputs!I7=Parameters!$F$78,H4*INDEX(Parameters!$A$3:$AI$18,MATCH(Calculations!A4,Parameters!$A$3:$A$18,0),MATCH(Parameters!$Q$3,Parameters!$A$3:$AI$3,0)),0)</f>
        <v>24000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84000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4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8000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24000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Onions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43191</v>
      </c>
      <c r="D6" s="39">
        <f>IFERROR(DATE(YEAR(B6),MONTH(B6)+T6,DAY(B6)),"")</f>
        <v>43252</v>
      </c>
      <c r="E6" s="39">
        <f>IFERROR(IF($S6=0,"",IF($S6=2,DATE(YEAR(B6),MONTH(B6)+6,DAY(B6)),IF($S6=1,B6,""))),"")</f>
        <v>43282</v>
      </c>
      <c r="F6" s="39">
        <f>IFERROR(IF($S6=0,"",IF($S6=2,DATE(YEAR(C6),MONTH(C6)+6,DAY(C6)),IF($S6=1,C6,""))),"")</f>
        <v>43374</v>
      </c>
      <c r="G6" s="39">
        <f>IFERROR(IF($S6=0,"",IF($S6=2,DATE(YEAR(D6),MONTH(D6)+6,DAY(D6)),IF($S6=1,D6,""))),"")</f>
        <v>43435</v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3479.15654460647</v>
      </c>
      <c r="M6" s="30">
        <f>L6*H6</f>
        <v>6958.313089212939</v>
      </c>
      <c r="N6" s="22">
        <f>Calculations!U6</f>
        <v>0.6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56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311732.4263967397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5</v>
      </c>
      <c r="U6" s="22">
        <f>Inputs!M9/100</f>
        <v>0.6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3000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4000</v>
      </c>
      <c r="Z6" s="34">
        <f>IF(Inputs!I9=Parameters!$F$78,H6*INDEX(Parameters!$A$3:$AI$18,MATCH(Calculations!A6,Parameters!$A$3:$A$18,0),MATCH(Parameters!$Q$3,Parameters!$A$3:$AI$3,0)),0)</f>
        <v>14000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18000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227000</v>
      </c>
      <c r="B23" s="75">
        <f>SUM(C23:D23)</f>
        <v>1072.377094585238</v>
      </c>
      <c r="C23" s="75">
        <f>IF(Inputs!B56&gt;0,(Inputs!A56-Inputs!B56)/(DATE(YEAR(Inputs!$B$76),MONTH(Inputs!$B$76),DAY(Inputs!$B$76))-DATE(YEAR(Inputs!C56),MONTH(Inputs!C56),DAY(Inputs!C56)))*30,0)</f>
        <v>-3089.289572081429</v>
      </c>
      <c r="D23" s="75">
        <f>IF(Inputs!B56&gt;0,Inputs!A56*0.22/12,0)</f>
        <v>4161.666666666667</v>
      </c>
      <c r="E23" s="75">
        <f>IFERROR(ROUNDUP(Inputs!B56/C23,0),0)</f>
        <v>-154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43166</v>
      </c>
      <c r="C33" s="27">
        <f>IF(B33&lt;&gt;"",IF(COUNT($A$33:A33)&lt;=$G$39,0,$G$41)+IF(COUNT($A$33:A33)&lt;=$G$40,0,$G$42),0)</f>
        <v>33750</v>
      </c>
      <c r="D33" s="170">
        <f>IFERROR(DATE(YEAR(B33),MONTH(B33),1)," ")</f>
        <v>43160</v>
      </c>
      <c r="F33" t="s">
        <v>162</v>
      </c>
      <c r="G33" s="128">
        <f>IF(Inputs!B79="","",DATE(YEAR(Inputs!B79),MONTH(Inputs!B79),DAY(Inputs!B79)))</f>
        <v>43131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43197</v>
      </c>
      <c r="C34" s="27">
        <f>IF(B34&lt;&gt;"",IF(COUNT($A$33:A34)&lt;=$G$39,0,$G$41)+IF(COUNT($A$33:A34)&lt;=$G$40,0,$G$42),0)</f>
        <v>33750</v>
      </c>
      <c r="D34" s="170">
        <f>IFERROR(DATE(YEAR(B34),MONTH(B34),1)," ")</f>
        <v>43191</v>
      </c>
      <c r="F34" t="s">
        <v>163</v>
      </c>
      <c r="G34" s="128">
        <f>IF(Inputs!B80="","",DATE(YEAR(Inputs!B80),MONTH(Inputs!B80),DAY(Inputs!B80)))</f>
        <v>43166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43227</v>
      </c>
      <c r="C35" s="27">
        <f>IF(B35&lt;&gt;"",IF(COUNT($A$33:A35)&lt;=$G$39,0,$G$41)+IF(COUNT($A$33:A35)&lt;=$G$40,0,$G$42),0)</f>
        <v>33750</v>
      </c>
      <c r="D35" s="170">
        <f>IFERROR(DATE(YEAR(B35),MONTH(B35),1)," ")</f>
        <v>43221</v>
      </c>
      <c r="F35" t="s">
        <v>165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43258</v>
      </c>
      <c r="C36" s="27">
        <f>IF(B36&lt;&gt;"",IF(COUNT($A$33:A36)&lt;=$G$39,0,$G$41)+IF(COUNT($A$33:A36)&lt;=$G$40,0,$G$42),0)</f>
        <v>33750</v>
      </c>
      <c r="D36" s="170">
        <f>IFERROR(DATE(YEAR(B36),MONTH(B36),1)," ")</f>
        <v>43252</v>
      </c>
      <c r="F36" t="s">
        <v>166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43288</v>
      </c>
      <c r="C37" s="27">
        <f>IF(B37&lt;&gt;"",IF(COUNT($A$33:A37)&lt;=$G$39,0,$G$41)+IF(COUNT($A$33:A37)&lt;=$G$40,0,$G$42),0)</f>
        <v>33750</v>
      </c>
      <c r="D37" s="170">
        <f>IFERROR(DATE(YEAR(B37),MONTH(B37),1)," ")</f>
        <v>43282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43319</v>
      </c>
      <c r="C38" s="27">
        <f>IF(B38&lt;&gt;"",IF(COUNT($A$33:A38)&lt;=$G$39,0,$G$41)+IF(COUNT($A$33:A38)&lt;=$G$40,0,$G$42),0)</f>
        <v>33750</v>
      </c>
      <c r="D38" s="170">
        <f>IFERROR(DATE(YEAR(B38),MONTH(B38),1)," ")</f>
        <v>43313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43350</v>
      </c>
      <c r="C39" s="27">
        <f>IF(B39&lt;&gt;"",IF(COUNT($A$33:A39)&lt;=$G$39,0,$G$41)+IF(COUNT($A$33:A39)&lt;=$G$40,0,$G$42),0)</f>
        <v>33750</v>
      </c>
      <c r="D39" s="170">
        <f>IFERROR(DATE(YEAR(B39),MONTH(B39),1)," ")</f>
        <v>43344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43380</v>
      </c>
      <c r="C40" s="27">
        <f>IF(B40&lt;&gt;"",IF(COUNT($A$33:A40)&lt;=$G$39,0,$G$41)+IF(COUNT($A$33:A40)&lt;=$G$40,0,$G$42),0)</f>
        <v>33750</v>
      </c>
      <c r="D40" s="170">
        <f>IFERROR(DATE(YEAR(B40),MONTH(B40),1)," ")</f>
        <v>43374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43411</v>
      </c>
      <c r="C41" s="27">
        <f>IF(B41&lt;&gt;"",IF(COUNT($A$33:A41)&lt;=$G$39,0,$G$41)+IF(COUNT($A$33:A41)&lt;=$G$40,0,$G$42),0)</f>
        <v>33750</v>
      </c>
      <c r="D41" s="170">
        <f>IFERROR(DATE(YEAR(B41),MONTH(B41),1)," ")</f>
        <v>43405</v>
      </c>
      <c r="F41" t="s">
        <v>229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43441</v>
      </c>
      <c r="C42" s="27">
        <f>IF(B42&lt;&gt;"",IF(COUNT($A$33:A42)&lt;=$G$39,0,$G$41)+IF(COUNT($A$33:A42)&lt;=$G$40,0,$G$42),0)</f>
        <v>33750</v>
      </c>
      <c r="D42" s="170">
        <f>IFERROR(DATE(YEAR(B42),MONTH(B42),1)," ")</f>
        <v>43435</v>
      </c>
      <c r="F42" t="s">
        <v>230</v>
      </c>
      <c r="G42" s="73">
        <f>IFERROR(G35*G36*IF(G37="Monthly",G38/12,IF(G37="Fortnightly",G38/(365/14),G38/(365/28)))/(G38-G40),"")</f>
        <v>8750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43472</v>
      </c>
      <c r="C43" s="27">
        <f>IF(B43&lt;&gt;"",IF(COUNT($A$33:A43)&lt;=$G$39,0,$G$41)+IF(COUNT($A$33:A43)&lt;=$G$40,0,$G$42),0)</f>
        <v>33750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43503</v>
      </c>
      <c r="C44" s="27">
        <f>IF(B44&lt;&gt;"",IF(COUNT($A$33:A44)&lt;=$G$39,0,$G$41)+IF(COUNT($A$33:A44)&lt;=$G$40,0,$G$42),0)</f>
        <v>33750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203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99</v>
      </c>
      <c r="B41" s="191" t="s">
        <v>125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315</v>
      </c>
      <c r="H52" s="12" t="s">
        <v>130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125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125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125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125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125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125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125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125</v>
      </c>
      <c r="F77" s="12" t="s">
        <v>125</v>
      </c>
      <c r="G77" s="12" t="s">
        <v>351</v>
      </c>
      <c r="H77" s="12" t="s">
        <v>130</v>
      </c>
      <c r="I77" s="12" t="s">
        <v>352</v>
      </c>
      <c r="J77" s="136" t="s">
        <v>353</v>
      </c>
      <c r="K77" s="12" t="s">
        <v>125</v>
      </c>
      <c r="AJ77" s="12"/>
    </row>
    <row r="78" spans="1:36">
      <c r="A78" t="s">
        <v>125</v>
      </c>
      <c r="B78" s="176">
        <v>5</v>
      </c>
      <c r="C78" s="134" t="s">
        <v>354</v>
      </c>
      <c r="D78" s="133"/>
      <c r="E78" s="12" t="s">
        <v>355</v>
      </c>
      <c r="F78" s="12" t="s">
        <v>93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125</v>
      </c>
      <c r="AJ78" s="12"/>
    </row>
    <row r="79" spans="1:36">
      <c r="B79" s="176">
        <v>10</v>
      </c>
      <c r="C79" s="12" t="s">
        <v>96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168</v>
      </c>
      <c r="J79" s="70" t="s">
        <v>362</v>
      </c>
      <c r="K79" s="12" t="s">
        <v>125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363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128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