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<sst xmlns="http://schemas.openxmlformats.org/spreadsheetml/2006/main" uniqueCount="369">
  <si>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</si>
  <si>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</si>
  <si>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</si>
  <si>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</si>
  <si>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</si>
  <si>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</si>
  <si>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</si>
  <si>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</si>
  <si>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</si>
  <si>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</si>
  <si>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</si>
  <si>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</si>
  <si>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</si>
  <si>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</si>
  <si>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</si>
  <si>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</si>
  <si>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</si>
  <si>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</si>
  <si>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</si>
  <si>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</si>
  <si>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</si>
  <si>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</si>
  <si>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</si>
  <si>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</si>
  <si>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</si>
  <si>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</si>
  <si>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</si>
  <si>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</si>
  <si>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</si>
  <si>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</si>
  <si>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</si>
  <si>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</si>
  <si>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</si>
  <si>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</si>
  <si>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</si>
  <si>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</si>
  <si>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</si>
  <si>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</si>
  <si>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</si>
  <si>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</si>
  <si>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</si>
  <si>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</si>
  <si>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</si>
  <si>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</si>
  <si>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</si>
  <si>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</si>
  <si>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</si>
  <si>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</si>
  <si>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</si>
  <si>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</si>
  <si>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</si>
  <si>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</si>
  <si>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</si>
  <si>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</si>
  <si>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</si>
  <si>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</si>
  <si>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</si>
  <si>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</si>
  <si>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</si>
  <si>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</si>
  <si>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</si>
  <si>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</si>
  <si>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</si>
  <si>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</si>
  <si>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</si>
  <si>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</si>
  <si>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</si>
  <si>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</si>
  <si>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</si>
  <si>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</si>
  <si>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</si>
  <si>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</si>
  <si>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</si>
  <si>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</si>
  <si>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</si>
  <si>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</si>
  <si>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</si>
  <si>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</si>
  <si>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</si>
  <si>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</si>
  <si>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</si>
  <si>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</si>
  <si>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</si>
  <si>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</si>
  <si>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</si>
  <si>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</si>
  <si>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</si>
  <si>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</si>
  <si>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</si>
  <si>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</si>
  <si>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</si>
  <si>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</si>
  <si>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</si>
  <si>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</si>
  <si>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</si>
  <si>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</si>
  <si>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</si>
  <si>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</si>
  <si>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</si>
  <si>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</si>
  <si>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</si>
  <si>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</si>
  <si>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</si>
  <si>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</si>
  <si>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</si>
  <si>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</si>
  <si>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</si>
  <si>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</si>
  <si>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</si>
  <si>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</si>
  <si>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</si>
  <si>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</si>
  <si>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WATER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</si>
  <si>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</si>
  <si>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</si>
  <si>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</si>
  <si>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</si>
  <si>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</si>
  <si>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</si>
  <si>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</si>
  <si>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</si>
  <si>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</si>
  <si>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</si>
  <si>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</si>
  <si>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</si>
  <si>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</si>
  <si>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</si>
  <si>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</si>
  <si>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</si>
  <si>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</si>
  <si>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</si>
  <si>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</si>
  <si>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</si>
  <si>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</si>
  <si>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</si>
  <si>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</si>
  <si>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</si>
  <si>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</si>
  <si>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</si>
  <si>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</si>
  <si>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5/31/2017</t>
  </si>
  <si>
    <t>FAMILY BANK</t>
  </si>
  <si>
    <t>KILIMO BALOON PAYMENT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</si>
  <si>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</si>
  <si>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</si>
  <si>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</si>
  <si>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</si>
  <si>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</si>
  <si>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</si>
  <si>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</si>
  <si>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</si>
  <si>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</si>
  <si>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</si>
  <si>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</si>
  <si>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</si>
  <si>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2018/2/2</t>
  </si>
  <si>
    <t>Loan terms</t>
  </si>
  <si>
    <t>Expected disbursement date</t>
  </si>
  <si>
    <t>Expected first repayment date</t>
  </si>
  <si>
    <t>2018/3/5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</si>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</sst>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WATER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0.1869158878504673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-739749.6000000001</v>
      </c>
    </row>
    <row r="18" spans="1:7">
      <c r="B18" s="1" t="s">
        <v>12</v>
      </c>
      <c r="C18" s="36">
        <f>MIN(Output!B6:M6)</f>
        <v>-68278.79999999999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-61042.79999999999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250000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-61042.79999999999</v>
      </c>
      <c r="C6" s="51">
        <f>C30-C88</f>
        <v>-68278.79999999999</v>
      </c>
      <c r="D6" s="51">
        <f>D30-D88</f>
        <v>-61042.79999999999</v>
      </c>
      <c r="E6" s="51">
        <f>E30-E88</f>
        <v>-61042.79999999999</v>
      </c>
      <c r="F6" s="51">
        <f>F30-F88</f>
        <v>-61042.79999999999</v>
      </c>
      <c r="G6" s="51">
        <f>G30-G88</f>
        <v>-61042.79999999999</v>
      </c>
      <c r="H6" s="51">
        <f>H30-H88</f>
        <v>-61042.79999999999</v>
      </c>
      <c r="I6" s="51">
        <f>I30-I88</f>
        <v>-61042.79999999999</v>
      </c>
      <c r="J6" s="51">
        <f>J30-J88</f>
        <v>-61042.79999999999</v>
      </c>
      <c r="K6" s="51">
        <f>K30-K88</f>
        <v>-61042.79999999999</v>
      </c>
      <c r="L6" s="51">
        <f>L30-L88</f>
        <v>-61042.79999999999</v>
      </c>
      <c r="M6" s="51">
        <f>M30-M88</f>
        <v>-61042.79999999999</v>
      </c>
      <c r="N6" s="51">
        <f>N30-N88</f>
        <v>-61042.79999999999</v>
      </c>
      <c r="O6" s="51">
        <f>O30-O88</f>
        <v>-68278.79999999999</v>
      </c>
      <c r="P6" s="51">
        <f>P30-P88</f>
        <v>-61042.79999999999</v>
      </c>
      <c r="Q6" s="51">
        <f>Q30-Q88</f>
        <v>-61042.79999999999</v>
      </c>
      <c r="R6" s="51">
        <f>R30-R88</f>
        <v>-61042.79999999999</v>
      </c>
      <c r="S6" s="51">
        <f>S30-S88</f>
        <v>-61042.79999999999</v>
      </c>
      <c r="T6" s="51">
        <f>T30-T88</f>
        <v>-61042.79999999999</v>
      </c>
      <c r="U6" s="51">
        <f>U30-U88</f>
        <v>-61042.79999999999</v>
      </c>
      <c r="V6" s="51">
        <f>V30-V88</f>
        <v>-61042.79999999999</v>
      </c>
      <c r="W6" s="51">
        <f>W30-W88</f>
        <v>-61042.79999999999</v>
      </c>
      <c r="X6" s="51">
        <f>X30-X88</f>
        <v>-61042.79999999999</v>
      </c>
      <c r="Y6" s="51">
        <f>Y30-Y88</f>
        <v>-61042.79999999999</v>
      </c>
      <c r="Z6" s="51">
        <f>SUMIF($B$13:$Y$13,"Yes",B6:Y6)</f>
        <v>-1479499.200000001</v>
      </c>
      <c r="AA6" s="51">
        <f>AA30-AA88</f>
        <v>-739749.6000000001</v>
      </c>
      <c r="AB6" s="51">
        <f>AB30-AB88</f>
        <v>-1479499.200000001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9530</v>
      </c>
      <c r="H7" s="80">
        <f>IF(ISERROR(VLOOKUP(MONTH(H5),Inputs!$D$66:$D$71,1,0)),"",INDEX(Inputs!$B$66:$B$71,MATCH(MONTH(Output!H5),Inputs!$D$66:$D$71,0))-INDEX(Inputs!$C$66:$C$71,MATCH(MONTH(Output!H5),Inputs!$D$66:$D$71,0)))</f>
        <v>10501</v>
      </c>
      <c r="I7" s="80">
        <f>IF(ISERROR(VLOOKUP(MONTH(I5),Inputs!$D$66:$D$71,1,0)),"",INDEX(Inputs!$B$66:$B$71,MATCH(MONTH(Output!I5),Inputs!$D$66:$D$71,0))-INDEX(Inputs!$C$66:$C$71,MATCH(MONTH(Output!I5),Inputs!$D$66:$D$71,0)))</f>
        <v>9535</v>
      </c>
      <c r="J7" s="80">
        <f>IF(ISERROR(VLOOKUP(MONTH(J5),Inputs!$D$66:$D$71,1,0)),"",INDEX(Inputs!$B$66:$B$71,MATCH(MONTH(Output!J5),Inputs!$D$66:$D$71,0))-INDEX(Inputs!$C$66:$C$71,MATCH(MONTH(Output!J5),Inputs!$D$66:$D$71,0)))</f>
        <v>703</v>
      </c>
      <c r="K7" s="80">
        <f>IF(ISERROR(VLOOKUP(MONTH(K5),Inputs!$D$66:$D$71,1,0)),"",INDEX(Inputs!$B$66:$B$71,MATCH(MONTH(Output!K5),Inputs!$D$66:$D$71,0))-INDEX(Inputs!$C$66:$C$71,MATCH(MONTH(Output!K5),Inputs!$D$66:$D$71,0)))</f>
        <v>11092</v>
      </c>
      <c r="L7" s="80">
        <f>IF(ISERROR(VLOOKUP(MONTH(L5),Inputs!$D$66:$D$71,1,0)),"",INDEX(Inputs!$B$66:$B$71,MATCH(MONTH(Output!L5),Inputs!$D$66:$D$71,0))-INDEX(Inputs!$C$66:$C$71,MATCH(MONTH(Output!L5),Inputs!$D$66:$D$71,0)))</f>
        <v>4267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9530</v>
      </c>
      <c r="T7" s="80">
        <f>IF(ISERROR(VLOOKUP(MONTH(T5),Inputs!$D$66:$D$71,1,0)),"",INDEX(Inputs!$B$66:$B$71,MATCH(MONTH(Output!T5),Inputs!$D$66:$D$71,0))-INDEX(Inputs!$C$66:$C$71,MATCH(MONTH(Output!T5),Inputs!$D$66:$D$71,0)))</f>
        <v>10501</v>
      </c>
      <c r="U7" s="80">
        <f>IF(ISERROR(VLOOKUP(MONTH(U5),Inputs!$D$66:$D$71,1,0)),"",INDEX(Inputs!$B$66:$B$71,MATCH(MONTH(Output!U5),Inputs!$D$66:$D$71,0))-INDEX(Inputs!$C$66:$C$71,MATCH(MONTH(Output!U5),Inputs!$D$66:$D$71,0)))</f>
        <v>9535</v>
      </c>
      <c r="V7" s="80">
        <f>IF(ISERROR(VLOOKUP(MONTH(V5),Inputs!$D$66:$D$71,1,0)),"",INDEX(Inputs!$B$66:$B$71,MATCH(MONTH(Output!V5),Inputs!$D$66:$D$71,0))-INDEX(Inputs!$C$66:$C$71,MATCH(MONTH(Output!V5),Inputs!$D$66:$D$71,0)))</f>
        <v>703</v>
      </c>
      <c r="W7" s="80">
        <f>IF(ISERROR(VLOOKUP(MONTH(W5),Inputs!$D$66:$D$71,1,0)),"",INDEX(Inputs!$B$66:$B$71,MATCH(MONTH(Output!W5),Inputs!$D$66:$D$71,0))-INDEX(Inputs!$C$66:$C$71,MATCH(MONTH(Output!W5),Inputs!$D$66:$D$71,0)))</f>
        <v>11092</v>
      </c>
      <c r="X7" s="80">
        <f>IF(ISERROR(VLOOKUP(MONTH(X5),Inputs!$D$66:$D$71,1,0)),"",INDEX(Inputs!$B$66:$B$71,MATCH(MONTH(Output!X5),Inputs!$D$66:$D$71,0))-INDEX(Inputs!$C$66:$C$71,MATCH(MONTH(Output!X5),Inputs!$D$66:$D$71,0)))</f>
        <v>4267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188957.2</v>
      </c>
      <c r="C11" s="80">
        <f>C6+C9-C10</f>
        <v>-82862.13333333332</v>
      </c>
      <c r="D11" s="80">
        <f>D6+D9-D10</f>
        <v>-75626.13333333332</v>
      </c>
      <c r="E11" s="80">
        <f>E6+E9-E10</f>
        <v>-75626.13333333332</v>
      </c>
      <c r="F11" s="80">
        <f>F6+F9-F10</f>
        <v>-75626.13333333332</v>
      </c>
      <c r="G11" s="80">
        <f>G6+G9-G10</f>
        <v>-75626.13333333332</v>
      </c>
      <c r="H11" s="80">
        <f>H6+H9-H10</f>
        <v>-75626.13333333332</v>
      </c>
      <c r="I11" s="80">
        <f>I6+I9-I10</f>
        <v>-75626.13333333332</v>
      </c>
      <c r="J11" s="80">
        <f>J6+J9-J10</f>
        <v>-75626.13333333332</v>
      </c>
      <c r="K11" s="80">
        <f>K6+K9-K10</f>
        <v>-75626.13333333332</v>
      </c>
      <c r="L11" s="80">
        <f>L6+L9-L10</f>
        <v>-75626.13333333332</v>
      </c>
      <c r="M11" s="80">
        <f>M6+M9-M10</f>
        <v>-75626.13333333332</v>
      </c>
      <c r="N11" s="80">
        <f>N6+N9-N10</f>
        <v>-75626.13333333332</v>
      </c>
      <c r="O11" s="80">
        <f>O6+O9-O10</f>
        <v>-82862.13333333332</v>
      </c>
      <c r="P11" s="80">
        <f>P6+P9-P10</f>
        <v>-75626.13333333332</v>
      </c>
      <c r="Q11" s="80">
        <f>Q6+Q9-Q10</f>
        <v>-75626.13333333332</v>
      </c>
      <c r="R11" s="80">
        <f>R6+R9-R10</f>
        <v>-75626.13333333332</v>
      </c>
      <c r="S11" s="80">
        <f>S6+S9-S10</f>
        <v>-75626.13333333332</v>
      </c>
      <c r="T11" s="80">
        <f>T6+T9-T10</f>
        <v>-75626.13333333332</v>
      </c>
      <c r="U11" s="80">
        <f>U6+U9-U10</f>
        <v>-75626.13333333332</v>
      </c>
      <c r="V11" s="80">
        <f>V6+V9-V10</f>
        <v>-75626.13333333332</v>
      </c>
      <c r="W11" s="80">
        <f>W6+W9-W10</f>
        <v>-75626.13333333332</v>
      </c>
      <c r="X11" s="80">
        <f>X6+X9-X10</f>
        <v>-75626.13333333332</v>
      </c>
      <c r="Y11" s="80">
        <f>Y6+Y9-Y10</f>
        <v>-75626.13333333332</v>
      </c>
      <c r="Z11" s="85">
        <f>SUMIF($B$13:$Y$13,"Yes",B11:Y11)</f>
        <v>-1564915.866666666</v>
      </c>
      <c r="AA11" s="80">
        <f>SUM(B11:M11)</f>
        <v>-650166.2666666664</v>
      </c>
      <c r="AB11" s="46">
        <f>SUM(B11:Y11)</f>
        <v>-1564915.866666666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0.1208446029557347</v>
      </c>
      <c r="D12" s="82">
        <f>IF(D13="Yes",IF(SUM($B$10:D10)/(SUM($B$6:D6)+SUM($B$9:D9))&lt;0,999.99,SUM($B$10:D10)/(SUM($B$6:D6)+SUM($B$9:D9))),"")</f>
        <v>0.4890814658805587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360000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15000</v>
      </c>
      <c r="C30" s="19">
        <f>SUM(C18:C29)</f>
        <v>15000</v>
      </c>
      <c r="D30" s="19">
        <f>SUM(D18:D29)</f>
        <v>15000</v>
      </c>
      <c r="E30" s="19">
        <f>SUM(E18:E29)</f>
        <v>15000</v>
      </c>
      <c r="F30" s="19">
        <f>SUM(F18:F29)</f>
        <v>15000</v>
      </c>
      <c r="G30" s="19">
        <f>SUM(G18:G29)</f>
        <v>15000</v>
      </c>
      <c r="H30" s="19">
        <f>SUM(H18:H29)</f>
        <v>15000</v>
      </c>
      <c r="I30" s="19">
        <f>SUM(I18:I29)</f>
        <v>15000</v>
      </c>
      <c r="J30" s="19">
        <f>SUM(J18:J29)</f>
        <v>15000</v>
      </c>
      <c r="K30" s="19">
        <f>SUM(K18:K29)</f>
        <v>15000</v>
      </c>
      <c r="L30" s="19">
        <f>SUM(L18:L29)</f>
        <v>15000</v>
      </c>
      <c r="M30" s="19">
        <f>SUM(M18:M29)</f>
        <v>15000</v>
      </c>
      <c r="N30" s="19">
        <f>SUM(N18:N29)</f>
        <v>15000</v>
      </c>
      <c r="O30" s="19">
        <f>SUM(O18:O29)</f>
        <v>15000</v>
      </c>
      <c r="P30" s="19">
        <f>SUM(P18:P29)</f>
        <v>15000</v>
      </c>
      <c r="Q30" s="19">
        <f>SUM(Q18:Q29)</f>
        <v>15000</v>
      </c>
      <c r="R30" s="19">
        <f>SUM(R18:R29)</f>
        <v>15000</v>
      </c>
      <c r="S30" s="19">
        <f>SUM(S18:S29)</f>
        <v>15000</v>
      </c>
      <c r="T30" s="19">
        <f>SUM(T18:T29)</f>
        <v>15000</v>
      </c>
      <c r="U30" s="19">
        <f>SUM(U18:U29)</f>
        <v>15000</v>
      </c>
      <c r="V30" s="19">
        <f>SUM(V18:V29)</f>
        <v>15000</v>
      </c>
      <c r="W30" s="19">
        <f>SUM(W18:W29)</f>
        <v>15000</v>
      </c>
      <c r="X30" s="19">
        <f>SUM(X18:X29)</f>
        <v>15000</v>
      </c>
      <c r="Y30" s="19">
        <f>SUM(Y18:Y29)</f>
        <v>15000</v>
      </c>
      <c r="Z30" s="19">
        <f>SUMIF($B$13:$Y$13,"Yes",B30:Y30)</f>
        <v>360000</v>
      </c>
      <c r="AA30" s="19">
        <f>SUM(B30:M30)</f>
        <v>180000</v>
      </c>
      <c r="AB30" s="19">
        <f>SUM(B30:Y30)</f>
        <v>360000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3636.000000000001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3636.000000000001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7272.000000000002</v>
      </c>
      <c r="AA42" s="36">
        <f>SUM(B42:M42)</f>
        <v>3636.000000000001</v>
      </c>
      <c r="AB42" s="36">
        <f>SUM(B42:Y42)</f>
        <v>7272.000000000002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3636.000000000001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3636.000000000001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7272.000000000002</v>
      </c>
      <c r="AA43" s="36">
        <f>SUM(B43:M43)</f>
        <v>3636.000000000001</v>
      </c>
      <c r="AB43" s="36">
        <f>SUM(B43:Y43)</f>
        <v>7272.000000000002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3600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3600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7200</v>
      </c>
      <c r="AA48" s="46">
        <f>SUM(B48:M48)</f>
        <v>3600</v>
      </c>
      <c r="AB48" s="46">
        <f>SUM(B48:Y48)</f>
        <v>7200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3600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3600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7200</v>
      </c>
      <c r="AA49" s="46">
        <f>SUM(B49:M49)</f>
        <v>3600</v>
      </c>
      <c r="AB49" s="46">
        <f>SUM(B49:Y49)</f>
        <v>7200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116640</v>
      </c>
      <c r="C66" s="36">
        <f>O66</f>
        <v>116640</v>
      </c>
      <c r="D66" s="36">
        <f>P66</f>
        <v>116640</v>
      </c>
      <c r="E66" s="36">
        <f>Q66</f>
        <v>116640</v>
      </c>
      <c r="F66" s="36">
        <f>R66</f>
        <v>116640</v>
      </c>
      <c r="G66" s="36">
        <f>S66</f>
        <v>116640</v>
      </c>
      <c r="H66" s="36">
        <f>T66</f>
        <v>116640</v>
      </c>
      <c r="I66" s="36">
        <f>U66</f>
        <v>116640</v>
      </c>
      <c r="J66" s="36">
        <f>V66</f>
        <v>116640</v>
      </c>
      <c r="K66" s="36">
        <f>W66</f>
        <v>116640</v>
      </c>
      <c r="L66" s="36">
        <f>X66</f>
        <v>116640</v>
      </c>
      <c r="M66" s="36">
        <f>Y66</f>
        <v>116640</v>
      </c>
      <c r="N66" s="46">
        <f>SUM(N67:N71)</f>
        <v>116640</v>
      </c>
      <c r="O66" s="46">
        <f>SUM(O67:O71)</f>
        <v>116640</v>
      </c>
      <c r="P66" s="46">
        <f>SUM(P67:P71)</f>
        <v>116640</v>
      </c>
      <c r="Q66" s="46">
        <f>SUM(Q67:Q71)</f>
        <v>116640</v>
      </c>
      <c r="R66" s="46">
        <f>SUM(R67:R71)</f>
        <v>116640</v>
      </c>
      <c r="S66" s="46">
        <f>SUM(S67:S71)</f>
        <v>116640</v>
      </c>
      <c r="T66" s="46">
        <f>SUM(T67:T71)</f>
        <v>116640</v>
      </c>
      <c r="U66" s="46">
        <f>SUM(U67:U71)</f>
        <v>116640</v>
      </c>
      <c r="V66" s="46">
        <f>SUM(V67:V71)</f>
        <v>116640</v>
      </c>
      <c r="W66" s="46">
        <f>SUM(W67:W71)</f>
        <v>116640</v>
      </c>
      <c r="X66" s="46">
        <f>SUM(X67:X71)</f>
        <v>116640</v>
      </c>
      <c r="Y66" s="46">
        <f>SUM(Y67:Y71)</f>
        <v>116640</v>
      </c>
      <c r="Z66" s="46">
        <f>SUMIF($B$13:$Y$13,"Yes",B66:Y66)</f>
        <v>2799360</v>
      </c>
      <c r="AA66" s="46">
        <f>SUM(B66:M66)</f>
        <v>1399680</v>
      </c>
      <c r="AB66" s="46">
        <f>SUM(B66:Y66)</f>
        <v>2799360</v>
      </c>
    </row>
    <row r="67" spans="1:30" hidden="true" outlineLevel="1">
      <c r="A67" s="181" t="str">
        <f>Calculations!$A$4</f>
        <v>Maize</v>
      </c>
      <c r="B67" s="36">
        <f>N67</f>
        <v>116640</v>
      </c>
      <c r="C67" s="36">
        <f>O67</f>
        <v>116640</v>
      </c>
      <c r="D67" s="36">
        <f>P67</f>
        <v>116640</v>
      </c>
      <c r="E67" s="36">
        <f>Q67</f>
        <v>116640</v>
      </c>
      <c r="F67" s="36">
        <f>R67</f>
        <v>116640</v>
      </c>
      <c r="G67" s="36">
        <f>S67</f>
        <v>116640</v>
      </c>
      <c r="H67" s="36">
        <f>T67</f>
        <v>116640</v>
      </c>
      <c r="I67" s="36">
        <f>U67</f>
        <v>116640</v>
      </c>
      <c r="J67" s="36">
        <f>V67</f>
        <v>116640</v>
      </c>
      <c r="K67" s="36">
        <f>W67</f>
        <v>116640</v>
      </c>
      <c r="L67" s="36">
        <f>X67</f>
        <v>116640</v>
      </c>
      <c r="M67" s="36">
        <f>Y67</f>
        <v>116640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116640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116640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116640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116640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116640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116640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116640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116640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116640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116640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116640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116640</v>
      </c>
      <c r="Z67" s="46">
        <f>SUMIF($B$13:$Y$13,"Yes",B67:Y67)</f>
        <v>2799360</v>
      </c>
      <c r="AA67" s="46">
        <f>SUM(B67:M67)</f>
        <v>1399680</v>
      </c>
      <c r="AB67" s="46">
        <f>SUM(B67:Y67)</f>
        <v>2799360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</v>
      </c>
      <c r="C79" s="46">
        <f>Inputs!$B$31</f>
        <v>500</v>
      </c>
      <c r="D79" s="46">
        <f>Inputs!$B$31</f>
        <v>500</v>
      </c>
      <c r="E79" s="46">
        <f>Inputs!$B$31</f>
        <v>500</v>
      </c>
      <c r="F79" s="46">
        <f>Inputs!$B$31</f>
        <v>500</v>
      </c>
      <c r="G79" s="46">
        <f>Inputs!$B$31</f>
        <v>500</v>
      </c>
      <c r="H79" s="46">
        <f>Inputs!$B$31</f>
        <v>500</v>
      </c>
      <c r="I79" s="46">
        <f>Inputs!$B$31</f>
        <v>500</v>
      </c>
      <c r="J79" s="46">
        <f>Inputs!$B$31</f>
        <v>500</v>
      </c>
      <c r="K79" s="46">
        <f>Inputs!$B$31</f>
        <v>500</v>
      </c>
      <c r="L79" s="46">
        <f>Inputs!$B$31</f>
        <v>500</v>
      </c>
      <c r="M79" s="46">
        <f>Inputs!$B$31</f>
        <v>500</v>
      </c>
      <c r="N79" s="46">
        <f>Inputs!$B$31</f>
        <v>500</v>
      </c>
      <c r="O79" s="46">
        <f>Inputs!$B$31</f>
        <v>500</v>
      </c>
      <c r="P79" s="46">
        <f>Inputs!$B$31</f>
        <v>500</v>
      </c>
      <c r="Q79" s="46">
        <f>Inputs!$B$31</f>
        <v>500</v>
      </c>
      <c r="R79" s="46">
        <f>Inputs!$B$31</f>
        <v>500</v>
      </c>
      <c r="S79" s="46">
        <f>Inputs!$B$31</f>
        <v>500</v>
      </c>
      <c r="T79" s="46">
        <f>Inputs!$B$31</f>
        <v>500</v>
      </c>
      <c r="U79" s="46">
        <f>Inputs!$B$31</f>
        <v>500</v>
      </c>
      <c r="V79" s="46">
        <f>Inputs!$B$31</f>
        <v>500</v>
      </c>
      <c r="W79" s="46">
        <f>Inputs!$B$31</f>
        <v>500</v>
      </c>
      <c r="X79" s="46">
        <f>Inputs!$B$31</f>
        <v>500</v>
      </c>
      <c r="Y79" s="46">
        <f>Inputs!$B$31</f>
        <v>500</v>
      </c>
      <c r="Z79" s="46">
        <f>SUMIF($B$13:$Y$13,"Yes",B79:Y79)</f>
        <v>12000</v>
      </c>
      <c r="AA79" s="46">
        <f>SUM(B79:M79)</f>
        <v>6000</v>
      </c>
      <c r="AB79" s="46">
        <f>SUM(B79:Y79)</f>
        <v>12000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-41097.2</v>
      </c>
      <c r="C81" s="46">
        <f>(SUM($AA$18:$AA$29)-SUM($AA$36,$AA$42,$AA$48,$AA$54,$AA$60,$AA$66,$AA$72:$AA$79))*Parameters!$B$37/12</f>
        <v>-41097.2</v>
      </c>
      <c r="D81" s="46">
        <f>(SUM($AA$18:$AA$29)-SUM($AA$36,$AA$42,$AA$48,$AA$54,$AA$60,$AA$66,$AA$72:$AA$79))*Parameters!$B$37/12</f>
        <v>-41097.2</v>
      </c>
      <c r="E81" s="46">
        <f>(SUM($AA$18:$AA$29)-SUM($AA$36,$AA$42,$AA$48,$AA$54,$AA$60,$AA$66,$AA$72:$AA$79))*Parameters!$B$37/12</f>
        <v>-41097.2</v>
      </c>
      <c r="F81" s="46">
        <f>(SUM($AA$18:$AA$29)-SUM($AA$36,$AA$42,$AA$48,$AA$54,$AA$60,$AA$66,$AA$72:$AA$79))*Parameters!$B$37/12</f>
        <v>-41097.2</v>
      </c>
      <c r="G81" s="46">
        <f>(SUM($AA$18:$AA$29)-SUM($AA$36,$AA$42,$AA$48,$AA$54,$AA$60,$AA$66,$AA$72:$AA$79))*Parameters!$B$37/12</f>
        <v>-41097.2</v>
      </c>
      <c r="H81" s="46">
        <f>(SUM($AA$18:$AA$29)-SUM($AA$36,$AA$42,$AA$48,$AA$54,$AA$60,$AA$66,$AA$72:$AA$79))*Parameters!$B$37/12</f>
        <v>-41097.2</v>
      </c>
      <c r="I81" s="46">
        <f>(SUM($AA$18:$AA$29)-SUM($AA$36,$AA$42,$AA$48,$AA$54,$AA$60,$AA$66,$AA$72:$AA$79))*Parameters!$B$37/12</f>
        <v>-41097.2</v>
      </c>
      <c r="J81" s="46">
        <f>(SUM($AA$18:$AA$29)-SUM($AA$36,$AA$42,$AA$48,$AA$54,$AA$60,$AA$66,$AA$72:$AA$79))*Parameters!$B$37/12</f>
        <v>-41097.2</v>
      </c>
      <c r="K81" s="46">
        <f>(SUM($AA$18:$AA$29)-SUM($AA$36,$AA$42,$AA$48,$AA$54,$AA$60,$AA$66,$AA$72:$AA$79))*Parameters!$B$37/12</f>
        <v>-41097.2</v>
      </c>
      <c r="L81" s="46">
        <f>(SUM($AA$18:$AA$29)-SUM($AA$36,$AA$42,$AA$48,$AA$54,$AA$60,$AA$66,$AA$72:$AA$79))*Parameters!$B$37/12</f>
        <v>-41097.2</v>
      </c>
      <c r="M81" s="46">
        <f>(SUM($AA$18:$AA$29)-SUM($AA$36,$AA$42,$AA$48,$AA$54,$AA$60,$AA$66,$AA$72:$AA$79))*Parameters!$B$37/12</f>
        <v>-41097.2</v>
      </c>
      <c r="N81" s="46">
        <f>(SUM($AA$18:$AA$29)-SUM($AA$36,$AA$42,$AA$48,$AA$54,$AA$60,$AA$66,$AA$72:$AA$79))*Parameters!$B$37/12</f>
        <v>-41097.2</v>
      </c>
      <c r="O81" s="46">
        <f>(SUM($AA$18:$AA$29)-SUM($AA$36,$AA$42,$AA$48,$AA$54,$AA$60,$AA$66,$AA$72:$AA$79))*Parameters!$B$37/12</f>
        <v>-41097.2</v>
      </c>
      <c r="P81" s="46">
        <f>(SUM($AA$18:$AA$29)-SUM($AA$36,$AA$42,$AA$48,$AA$54,$AA$60,$AA$66,$AA$72:$AA$79))*Parameters!$B$37/12</f>
        <v>-41097.2</v>
      </c>
      <c r="Q81" s="46">
        <f>(SUM($AA$18:$AA$29)-SUM($AA$36,$AA$42,$AA$48,$AA$54,$AA$60,$AA$66,$AA$72:$AA$79))*Parameters!$B$37/12</f>
        <v>-41097.2</v>
      </c>
      <c r="R81" s="46">
        <f>(SUM($AA$18:$AA$29)-SUM($AA$36,$AA$42,$AA$48,$AA$54,$AA$60,$AA$66,$AA$72:$AA$79))*Parameters!$B$37/12</f>
        <v>-41097.2</v>
      </c>
      <c r="S81" s="46">
        <f>(SUM($AA$18:$AA$29)-SUM($AA$36,$AA$42,$AA$48,$AA$54,$AA$60,$AA$66,$AA$72:$AA$79))*Parameters!$B$37/12</f>
        <v>-41097.2</v>
      </c>
      <c r="T81" s="46">
        <f>(SUM($AA$18:$AA$29)-SUM($AA$36,$AA$42,$AA$48,$AA$54,$AA$60,$AA$66,$AA$72:$AA$79))*Parameters!$B$37/12</f>
        <v>-41097.2</v>
      </c>
      <c r="U81" s="46">
        <f>(SUM($AA$18:$AA$29)-SUM($AA$36,$AA$42,$AA$48,$AA$54,$AA$60,$AA$66,$AA$72:$AA$79))*Parameters!$B$37/12</f>
        <v>-41097.2</v>
      </c>
      <c r="V81" s="46">
        <f>(SUM($AA$18:$AA$29)-SUM($AA$36,$AA$42,$AA$48,$AA$54,$AA$60,$AA$66,$AA$72:$AA$79))*Parameters!$B$37/12</f>
        <v>-41097.2</v>
      </c>
      <c r="W81" s="46">
        <f>(SUM($AA$18:$AA$29)-SUM($AA$36,$AA$42,$AA$48,$AA$54,$AA$60,$AA$66,$AA$72:$AA$79))*Parameters!$B$37/12</f>
        <v>-41097.2</v>
      </c>
      <c r="X81" s="46">
        <f>(SUM($AA$18:$AA$29)-SUM($AA$36,$AA$42,$AA$48,$AA$54,$AA$60,$AA$66,$AA$72:$AA$79))*Parameters!$B$37/12</f>
        <v>-41097.2</v>
      </c>
      <c r="Y81" s="46">
        <f>(SUM($AA$18:$AA$29)-SUM($AA$36,$AA$42,$AA$48,$AA$54,$AA$60,$AA$66,$AA$72:$AA$79))*Parameters!$B$37/12</f>
        <v>-41097.2</v>
      </c>
      <c r="Z81" s="46">
        <f>SUMIF($B$13:$Y$13,"Yes",B81:Y81)</f>
        <v>-986332.7999999996</v>
      </c>
      <c r="AA81" s="46">
        <f>SUM(B81:M81)</f>
        <v>-493166.4000000001</v>
      </c>
      <c r="AB81" s="46">
        <f>SUM(B81:Y81)</f>
        <v>-986332.7999999996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76042.79999999999</v>
      </c>
      <c r="C88" s="19">
        <f>SUM(C72:C82,C66,C60,C54,C48,C42,C36)</f>
        <v>83278.79999999999</v>
      </c>
      <c r="D88" s="19">
        <f>SUM(D72:D82,D66,D60,D54,D48,D42,D36)</f>
        <v>76042.79999999999</v>
      </c>
      <c r="E88" s="19">
        <f>SUM(E72:E82,E66,E60,E54,E48,E42,E36)</f>
        <v>76042.79999999999</v>
      </c>
      <c r="F88" s="19">
        <f>SUM(F72:F82,F66,F60,F54,F48,F42,F36)</f>
        <v>76042.79999999999</v>
      </c>
      <c r="G88" s="19">
        <f>SUM(G72:G82,G66,G60,G54,G48,G42,G36)</f>
        <v>76042.79999999999</v>
      </c>
      <c r="H88" s="19">
        <f>SUM(H72:H82,H66,H60,H54,H48,H42,H36)</f>
        <v>76042.79999999999</v>
      </c>
      <c r="I88" s="19">
        <f>SUM(I72:I82,I66,I60,I54,I48,I42,I36)</f>
        <v>76042.79999999999</v>
      </c>
      <c r="J88" s="19">
        <f>SUM(J72:J82,J66,J60,J54,J48,J42,J36)</f>
        <v>76042.79999999999</v>
      </c>
      <c r="K88" s="19">
        <f>SUM(K72:K82,K66,K60,K54,K48,K42,K36)</f>
        <v>76042.79999999999</v>
      </c>
      <c r="L88" s="19">
        <f>SUM(L72:L82,L66,L60,L54,L48,L42,L36)</f>
        <v>76042.79999999999</v>
      </c>
      <c r="M88" s="19">
        <f>SUM(M72:M82,M66,M60,M54,M48,M42,M36)</f>
        <v>76042.79999999999</v>
      </c>
      <c r="N88" s="19">
        <f>SUM(N72:N82,N66,N60,N54,N48,N42,N36)</f>
        <v>76042.79999999999</v>
      </c>
      <c r="O88" s="19">
        <f>SUM(O72:O82,O66,O60,O54,O48,O42,O36)</f>
        <v>83278.79999999999</v>
      </c>
      <c r="P88" s="19">
        <f>SUM(P72:P82,P66,P60,P54,P48,P42,P36)</f>
        <v>76042.79999999999</v>
      </c>
      <c r="Q88" s="19">
        <f>SUM(Q72:Q82,Q66,Q60,Q54,Q48,Q42,Q36)</f>
        <v>76042.79999999999</v>
      </c>
      <c r="R88" s="19">
        <f>SUM(R72:R82,R66,R60,R54,R48,R42,R36)</f>
        <v>76042.79999999999</v>
      </c>
      <c r="S88" s="19">
        <f>SUM(S72:S82,S66,S60,S54,S48,S42,S36)</f>
        <v>76042.79999999999</v>
      </c>
      <c r="T88" s="19">
        <f>SUM(T72:T82,T66,T60,T54,T48,T42,T36)</f>
        <v>76042.79999999999</v>
      </c>
      <c r="U88" s="19">
        <f>SUM(U72:U82,U66,U60,U54,U48,U42,U36)</f>
        <v>76042.79999999999</v>
      </c>
      <c r="V88" s="19">
        <f>SUM(V72:V82,V66,V60,V54,V48,V42,V36)</f>
        <v>76042.79999999999</v>
      </c>
      <c r="W88" s="19">
        <f>SUM(W72:W82,W66,W60,W54,W48,W42,W36)</f>
        <v>76042.79999999999</v>
      </c>
      <c r="X88" s="19">
        <f>SUM(X72:X82,X66,X60,X54,X48,X42,X36)</f>
        <v>76042.79999999999</v>
      </c>
      <c r="Y88" s="19">
        <f>SUM(Y72:Y82,Y66,Y60,Y54,Y48,Y42,Y36)</f>
        <v>76042.79999999999</v>
      </c>
      <c r="Z88" s="19">
        <f>SUMIF($B$13:$Y$13,"Yes",B88:Y88)</f>
        <v>1839499.200000001</v>
      </c>
      <c r="AA88" s="19">
        <f>SUM(B88:M88)</f>
        <v>919749.6000000001</v>
      </c>
      <c r="AB88" s="19">
        <f>SUM(B88:Y88)</f>
        <v>1839499.200000001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2675000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250000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</v>
      </c>
    </row>
    <row r="31" spans="1:48">
      <c r="A31" s="5" t="s">
        <v>114</v>
      </c>
      <c r="B31" s="158">
        <v>500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800000</v>
      </c>
    </row>
    <row r="46" spans="1:48" customHeight="1" ht="30">
      <c r="A46" s="57" t="s">
        <v>128</v>
      </c>
      <c r="B46" s="161">
        <v>600000</v>
      </c>
    </row>
    <row r="47" spans="1:48" customHeight="1" ht="30">
      <c r="A47" s="57" t="s">
        <v>129</v>
      </c>
      <c r="B47" s="161">
        <v>250000</v>
      </c>
    </row>
    <row r="48" spans="1:48" customHeight="1" ht="30">
      <c r="A48" s="57" t="s">
        <v>130</v>
      </c>
      <c r="B48" s="161">
        <v>1000000</v>
      </c>
    </row>
    <row r="49" spans="1:48" customHeight="1" ht="30">
      <c r="A49" s="57" t="s">
        <v>131</v>
      </c>
      <c r="B49" s="161">
        <v>25000</v>
      </c>
    </row>
    <row r="50" spans="1:48">
      <c r="A50" s="43"/>
      <c r="B50" s="36"/>
    </row>
    <row r="51" spans="1:48">
      <c r="A51" s="58" t="s">
        <v>132</v>
      </c>
      <c r="B51" s="161">
        <v>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250000</v>
      </c>
      <c r="B56" s="159">
        <v>250000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159658</v>
      </c>
      <c r="C66" s="163">
        <v>150128</v>
      </c>
      <c r="D66" s="49">
        <f>INDEX(Parameters!$D$79:$D$90,MATCH(Inputs!A66,Parameters!$C$79:$C$90,0))</f>
        <v>7</v>
      </c>
    </row>
    <row r="67" spans="1:48">
      <c r="A67" s="143" t="s">
        <v>147</v>
      </c>
      <c r="B67" s="157">
        <v>217300</v>
      </c>
      <c r="C67" s="165">
        <v>206799</v>
      </c>
      <c r="D67" s="49">
        <f>INDEX(Parameters!$D$79:$D$90,MATCH(Inputs!A67,Parameters!$C$79:$C$90,0))</f>
        <v>8</v>
      </c>
    </row>
    <row r="68" spans="1:48">
      <c r="A68" s="143" t="s">
        <v>148</v>
      </c>
      <c r="B68" s="157">
        <v>197463</v>
      </c>
      <c r="C68" s="165">
        <v>187928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118781</v>
      </c>
      <c r="C69" s="165">
        <v>118078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142114</v>
      </c>
      <c r="C70" s="165">
        <v>131022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202922</v>
      </c>
      <c r="C71" s="167">
        <v>198655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26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250000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3636.000000000001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129600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250000</v>
      </c>
      <c r="B23" s="75">
        <f>SUM(C23:D23)</f>
        <v>4583.333333333333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4583.333333333333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43164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43133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43195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43225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43221</v>
      </c>
      <c r="F35" t="s">
        <v>160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43256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43286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43317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43313</v>
      </c>
      <c r="F38" t="s">
        <v>223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43348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43378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43409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43405</v>
      </c>
      <c r="F41" t="s">
        <v>224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43439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43470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43501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43529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43560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43590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43621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43651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43682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43713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43743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43774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43804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43835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43866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125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125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163</v>
      </c>
      <c r="J79" s="70" t="s">
        <v>361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