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<sst xmlns="http://schemas.openxmlformats.org/spreadsheetml/2006/main" uniqueCount="371">
  <si>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</si>
  <si>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</si>
  <si>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</si>
  <si>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</si>
  <si>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</si>
  <si>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</si>
  <si>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</si>
  <si>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</si>
  <si>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</si>
  <si>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</si>
  <si>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</si>
  <si>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</si>
  <si>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</si>
  <si>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</si>
  <si>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</si>
  <si>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</si>
  <si>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</si>
  <si>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</si>
  <si>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</si>
  <si>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</si>
  <si>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</si>
  <si>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</si>
  <si>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</si>
  <si>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</si>
  <si>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</si>
  <si>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</si>
  <si>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</si>
  <si>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</si>
  <si>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</si>
  <si>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</si>
  <si>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</si>
  <si>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</si>
  <si>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</si>
  <si>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</si>
  <si>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</si>
  <si>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</si>
  <si>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</si>
  <si>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</si>
  <si>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</si>
  <si>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</si>
  <si>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</si>
  <si>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</si>
  <si>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</si>
  <si>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</si>
  <si>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</si>
  <si>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</si>
  <si>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</si>
  <si>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</si>
  <si>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</si>
  <si>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</si>
  <si>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</si>
  <si>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</si>
  <si>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</si>
  <si>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</si>
  <si>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</si>
  <si>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</si>
  <si>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</si>
  <si>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</si>
  <si>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</si>
  <si>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</si>
  <si>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</si>
  <si>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</si>
  <si>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</si>
  <si>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</si>
  <si>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</si>
  <si>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</si>
  <si>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</si>
  <si>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</si>
  <si>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</si>
  <si>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</si>
  <si>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</si>
  <si>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</si>
  <si>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</si>
  <si>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</si>
  <si>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</si>
  <si>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</si>
  <si>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</si>
  <si>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</si>
  <si>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</si>
  <si>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</si>
  <si>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</si>
  <si>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</si>
  <si>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</si>
  <si>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</si>
  <si>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</si>
  <si>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</si>
  <si>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</si>
  <si>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</si>
  <si>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</si>
  <si>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Mangoes</t>
  </si>
  <si>
    <t>Other farmers</t>
  </si>
  <si>
    <t>Yes both manure and inorganic</t>
  </si>
  <si>
    <t>Yes</t>
  </si>
  <si>
    <t>Yes without the use of a pump</t>
  </si>
  <si>
    <t>no planting_trees are mature</t>
  </si>
  <si>
    <t>Bananas</t>
  </si>
  <si>
    <t>Yes only manure</t>
  </si>
  <si>
    <t>Cabbages</t>
  </si>
  <si>
    <t>Shop_common variety</t>
  </si>
  <si>
    <t>Yes using a diesel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</si>
  <si>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</si>
  <si>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</si>
  <si>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</si>
  <si>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</si>
  <si>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</si>
  <si>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</si>
  <si>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</si>
  <si>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</si>
  <si>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</si>
  <si>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</si>
  <si>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</si>
  <si>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</si>
  <si>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</si>
  <si>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</si>
  <si>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</si>
  <si>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</si>
  <si>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</si>
  <si>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</si>
  <si>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</si>
  <si>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</si>
  <si>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</si>
  <si>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Hotel, 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</si>
  <si>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</si>
  <si>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</si>
  <si>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</si>
  <si>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</si>
  <si>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</si>
  <si>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</si>
  <si>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</si>
  <si>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</si>
  <si>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</si>
  <si>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</si>
  <si>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</si>
  <si>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</si>
  <si>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</si>
  <si>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</si>
  <si>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</si>
  <si>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</si>
  <si>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</si>
  <si>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</si>
  <si>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</si>
  <si>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</si>
  <si>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</si>
  <si>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</si>
  <si>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</si>
  <si>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</si>
  <si>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</si>
  <si>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</si>
  <si>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</si>
  <si>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6/21/2013</t>
  </si>
  <si>
    <t>Equity</t>
  </si>
  <si>
    <t>ok</t>
  </si>
  <si>
    <t>3/11/2014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</si>
  <si>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</si>
  <si>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</si>
  <si>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</si>
  <si>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</si>
  <si>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</si>
  <si>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</si>
  <si>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</si>
  <si>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</si>
  <si>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</si>
  <si>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</si>
  <si>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</si>
  <si>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</si>
  <si>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2018/2/3</t>
  </si>
  <si>
    <t>Loan terms</t>
  </si>
  <si>
    <t>Expected disbursement date</t>
  </si>
  <si>
    <t>2018/2/5</t>
  </si>
  <si>
    <t>Expected first repayment date</t>
  </si>
  <si>
    <t>2018/3/9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</si>
  <si>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</si>
  <si>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</si>
  <si>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</si>
  <si>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</si>
  <si>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</si>
  <si>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</si>
  <si>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</si>
  <si>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</si>
  <si>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</si>
  <si>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</si>
  <si>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</si>
  <si>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</si>
  <si>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</si>
  <si>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</si>
  <si>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</si>
  <si>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</si>
  <si>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</si>
  <si>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</si>
  <si>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</si>
  <si>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</si>
  <si>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</si>
  <si>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</si>
  <si>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</si>
  <si>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</si>
  <si>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</si>
  <si>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</si>
  <si>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</si>
  <si>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</si>
  <si>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</si>
  <si>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</si>
  <si>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</si>
  <si>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</si>
  <si>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</si>
  <si>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</si>
  <si>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</si>
  <si>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</si>
  <si>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</si>
  <si>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</si>
  <si>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</si>
  <si>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</si>
  <si>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</si>
  <si>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</si>
  <si>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</si>
  <si>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</si>
  <si>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</si>
  <si>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</si>
  <si>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</si>
  <si>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</si>
  <si>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</si>
  <si>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</si>
  <si>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</si>
  <si>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</si>
  <si>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</si>
  <si>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</si>
  <si>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</si>
  <si>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</si>
  <si>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</si>
  <si>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</si>
  <si>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</si>
  <si>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</si>
  <si>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</si>
  <si>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</si>
  <si>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</si>
  <si>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</si>
  <si>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</si>
  <si>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</si>
  <si>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</si>
  <si>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</si>
  <si>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</si>
  <si>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</si>
  <si>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</si>
  <si>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</si>
  <si>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</si>
  <si>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</si>
  <si>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</si>
  <si>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</si>
  <si>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</si>
  <si>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</si>
  <si>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</si>
  <si>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</si>
  <si>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</si>
  <si>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</si>
  <si>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</si>
  <si>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</si>
  <si>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</si>
  <si>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</si>
  <si>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</si>
  <si>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</si>
  <si>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</si>
  <si>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</si>
  <si>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</si>
  <si>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</si>
  <si>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</si>
  <si>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</si>
  <si>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</si>
  <si>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</si>
  <si>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</si>
  <si>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</si>
  <si>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</si>
  <si>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</si>
  <si>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</si>
  <si>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</si>
  <si>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</si>
  <si>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</si>
  <si>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</si>
  <si>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</si>
  <si>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</si>
  <si>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</si>
  <si>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</si>
  <si>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</si>
  <si>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</si>
  <si>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</si>
  <si>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</si>
  <si>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</si>
  <si>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</si>
  <si>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</si>
  <si>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</si>
  <si>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</si>
  <si>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</si>
  <si>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</si>
  <si>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</si>
  <si>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</si>
  <si>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</si>
  <si>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</si>
  <si>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</si>
  <si>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</si>
  <si>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</si>
  <si>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</si>
  <si>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</si>
  <si>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</si>
  <si>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</si>
  <si>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</si>
  <si>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</si>
  <si>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</si>
  <si>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</si>
  <si>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</si>
  <si>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</si>
  <si>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</si>
  <si>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</si>
  <si>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</si>
  <si>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</si>
  <si>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</si>
  <si>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</si>
  <si>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</si>
  <si>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</si>
  <si>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</si>
  <si>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</si>
  <si>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</si>
  <si>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</si>
  <si>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</si>
  <si>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</si>
  <si>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</si>
  <si>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</si>
  <si>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</si>
  <si>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</si>
  <si>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</si>
  <si>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</si>
  <si>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</si>
  <si>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</si>
  <si>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</si>
  <si>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</si>
  <si>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</si>
  <si>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</si>
  <si>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</si>
  <si>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</si>
  <si>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</si>
  <si>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</si>
  <si>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</si>
  <si>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</si>
  <si>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</si>
  <si>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</si>
  <si>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</si>
  <si>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</si>
  <si>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</si>
  <si>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</si>
  <si>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</si>
  <si>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</si>
  <si>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</si>
  <si>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</si>
  <si>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</si>
  <si>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</si>
  <si>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</si>
  <si>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</si>
  <si>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</si>
  <si>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</si>
  <si>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</si>
  <si>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</si>
  <si>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</si>
  <si>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</si>
  <si>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Weeks</t>
  </si>
  <si>
    <t>Yes inorganic fertilizers</t>
  </si>
  <si>
    <t>Yes using a solar pump</t>
  </si>
  <si>
    <t>Always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</si>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</sst>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Mangoes, Bananas,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Hotel, 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0.08463434050035006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0.03921645522461225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1266941.816776411</v>
      </c>
    </row>
    <row r="18" spans="1:7">
      <c r="B18" s="1" t="s">
        <v>12</v>
      </c>
      <c r="C18" s="36">
        <f>MIN(Output!B6:M6)</f>
        <v>47419.58369023335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344002.6359277772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50922.3656650378</v>
      </c>
      <c r="C6" s="51">
        <f>C30-C88</f>
        <v>57338.39031713166</v>
      </c>
      <c r="D6" s="51">
        <f>D30-D88</f>
        <v>47419.58369023335</v>
      </c>
      <c r="E6" s="51">
        <f>E30-E88</f>
        <v>342951.1544168476</v>
      </c>
      <c r="F6" s="51">
        <f>F30-F88</f>
        <v>66864.75857426463</v>
      </c>
      <c r="G6" s="51">
        <f>G30-G88</f>
        <v>66864.75857426463</v>
      </c>
      <c r="H6" s="51">
        <f>H30-H88</f>
        <v>47534.25857426465</v>
      </c>
      <c r="I6" s="51">
        <f>I30-I88</f>
        <v>55702.75241124116</v>
      </c>
      <c r="J6" s="51">
        <f>J30-J88</f>
        <v>47536.41496922553</v>
      </c>
      <c r="K6" s="51">
        <f>K30-K88</f>
        <v>344002.6359277772</v>
      </c>
      <c r="L6" s="51">
        <f>L30-L88</f>
        <v>69551.87799108472</v>
      </c>
      <c r="M6" s="51">
        <f>M30-M88</f>
        <v>70252.86566503778</v>
      </c>
      <c r="N6" s="51">
        <f>N30-N88</f>
        <v>50922.3656650378</v>
      </c>
      <c r="O6" s="51">
        <f>O30-O88</f>
        <v>57338.39031713166</v>
      </c>
      <c r="P6" s="51">
        <f>P30-P88</f>
        <v>47419.58369023335</v>
      </c>
      <c r="Q6" s="51">
        <f>Q30-Q88</f>
        <v>342951.1544168476</v>
      </c>
      <c r="R6" s="51">
        <f>R30-R88</f>
        <v>66864.75857426463</v>
      </c>
      <c r="S6" s="51">
        <f>S30-S88</f>
        <v>66864.75857426463</v>
      </c>
      <c r="T6" s="51">
        <f>T30-T88</f>
        <v>47534.25857426465</v>
      </c>
      <c r="U6" s="51">
        <f>U30-U88</f>
        <v>55702.75241124116</v>
      </c>
      <c r="V6" s="51">
        <f>V30-V88</f>
        <v>47536.41496922553</v>
      </c>
      <c r="W6" s="51">
        <f>W30-W88</f>
        <v>344002.6359277772</v>
      </c>
      <c r="X6" s="51">
        <f>X30-X88</f>
        <v>69551.87799108472</v>
      </c>
      <c r="Y6" s="51">
        <f>Y30-Y88</f>
        <v>70252.86566503778</v>
      </c>
      <c r="Z6" s="51">
        <f>SUMIF($B$13:$Y$13,"Yes",B6:Y6)</f>
        <v>1317864.182441449</v>
      </c>
      <c r="AA6" s="51">
        <f>AA30-AA88</f>
        <v>1266941.81677641</v>
      </c>
      <c r="AB6" s="51">
        <f>AB30-AB88</f>
        <v>2533883.633552823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-10767</v>
      </c>
      <c r="I7" s="80">
        <f>IF(ISERROR(VLOOKUP(MONTH(I5),Inputs!$D$66:$D$71,1,0)),"",INDEX(Inputs!$B$66:$B$71,MATCH(MONTH(Output!I5),Inputs!$D$66:$D$71,0))-INDEX(Inputs!$C$66:$C$71,MATCH(MONTH(Output!I5),Inputs!$D$66:$D$71,0)))</f>
        <v>4997</v>
      </c>
      <c r="J7" s="80">
        <f>IF(ISERROR(VLOOKUP(MONTH(J5),Inputs!$D$66:$D$71,1,0)),"",INDEX(Inputs!$B$66:$B$71,MATCH(MONTH(Output!J5),Inputs!$D$66:$D$71,0))-INDEX(Inputs!$C$66:$C$71,MATCH(MONTH(Output!J5),Inputs!$D$66:$D$71,0)))</f>
        <v>10821</v>
      </c>
      <c r="K7" s="80">
        <f>IF(ISERROR(VLOOKUP(MONTH(K5),Inputs!$D$66:$D$71,1,0)),"",INDEX(Inputs!$B$66:$B$71,MATCH(MONTH(Output!K5),Inputs!$D$66:$D$71,0))-INDEX(Inputs!$C$66:$C$71,MATCH(MONTH(Output!K5),Inputs!$D$66:$D$71,0)))</f>
        <v>-11012</v>
      </c>
      <c r="L7" s="80">
        <f>IF(ISERROR(VLOOKUP(MONTH(L5),Inputs!$D$66:$D$71,1,0)),"",INDEX(Inputs!$B$66:$B$71,MATCH(MONTH(Output!L5),Inputs!$D$66:$D$71,0))-INDEX(Inputs!$C$66:$C$71,MATCH(MONTH(Output!L5),Inputs!$D$66:$D$71,0)))</f>
        <v>-4669</v>
      </c>
      <c r="M7" s="80">
        <f>IF(ISERROR(VLOOKUP(MONTH(M5),Inputs!$D$66:$D$71,1,0)),"",INDEX(Inputs!$B$66:$B$71,MATCH(MONTH(Output!M5),Inputs!$D$66:$D$71,0))-INDEX(Inputs!$C$66:$C$71,MATCH(MONTH(Output!M5),Inputs!$D$66:$D$71,0)))</f>
        <v>-37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-10767</v>
      </c>
      <c r="U7" s="80">
        <f>IF(ISERROR(VLOOKUP(MONTH(U5),Inputs!$D$66:$D$71,1,0)),"",INDEX(Inputs!$B$66:$B$71,MATCH(MONTH(Output!U5),Inputs!$D$66:$D$71,0))-INDEX(Inputs!$C$66:$C$71,MATCH(MONTH(Output!U5),Inputs!$D$66:$D$71,0)))</f>
        <v>4997</v>
      </c>
      <c r="V7" s="80">
        <f>IF(ISERROR(VLOOKUP(MONTH(V5),Inputs!$D$66:$D$71,1,0)),"",INDEX(Inputs!$B$66:$B$71,MATCH(MONTH(Output!V5),Inputs!$D$66:$D$71,0))-INDEX(Inputs!$C$66:$C$71,MATCH(MONTH(Output!V5),Inputs!$D$66:$D$71,0)))</f>
        <v>10821</v>
      </c>
      <c r="W7" s="80">
        <f>IF(ISERROR(VLOOKUP(MONTH(W5),Inputs!$D$66:$D$71,1,0)),"",INDEX(Inputs!$B$66:$B$71,MATCH(MONTH(Output!W5),Inputs!$D$66:$D$71,0))-INDEX(Inputs!$C$66:$C$71,MATCH(MONTH(Output!W5),Inputs!$D$66:$D$71,0)))</f>
        <v>-11012</v>
      </c>
      <c r="X7" s="80">
        <f>IF(ISERROR(VLOOKUP(MONTH(X5),Inputs!$D$66:$D$71,1,0)),"",INDEX(Inputs!$B$66:$B$71,MATCH(MONTH(Output!X5),Inputs!$D$66:$D$71,0))-INDEX(Inputs!$C$66:$C$71,MATCH(MONTH(Output!X5),Inputs!$D$66:$D$71,0)))</f>
        <v>-4669</v>
      </c>
      <c r="Y7" s="80">
        <f>IF(ISERROR(VLOOKUP(MONTH(Y5),Inputs!$D$66:$D$71,1,0)),"",INDEX(Inputs!$B$66:$B$71,MATCH(MONTH(Output!Y5),Inputs!$D$66:$D$71,0))-INDEX(Inputs!$C$66:$C$71,MATCH(MONTH(Output!Y5),Inputs!$D$66:$D$71,0)))</f>
        <v>-37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108333.3333333333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150922.3656650378</v>
      </c>
      <c r="C11" s="80">
        <f>C6+C9-C10</f>
        <v>55671.723650465</v>
      </c>
      <c r="D11" s="80">
        <f>D6+D9-D10</f>
        <v>45752.91702356669</v>
      </c>
      <c r="E11" s="80">
        <f>E6+E9-E10</f>
        <v>331284.4877501809</v>
      </c>
      <c r="F11" s="80">
        <f>F6+F9-F10</f>
        <v>55198.09190759797</v>
      </c>
      <c r="G11" s="80">
        <f>G6+G9-G10</f>
        <v>55198.09190759797</v>
      </c>
      <c r="H11" s="80">
        <f>H6+H9-H10</f>
        <v>35867.59190759798</v>
      </c>
      <c r="I11" s="80">
        <f>I6+I9-I10</f>
        <v>44036.0857445745</v>
      </c>
      <c r="J11" s="80">
        <f>J6+J9-J10</f>
        <v>35869.74830255887</v>
      </c>
      <c r="K11" s="80">
        <f>K6+K9-K10</f>
        <v>332335.9692611105</v>
      </c>
      <c r="L11" s="80">
        <f>L6+L9-L10</f>
        <v>57885.21132441806</v>
      </c>
      <c r="M11" s="80">
        <f>M6+M9-M10</f>
        <v>58586.19899837112</v>
      </c>
      <c r="N11" s="80">
        <f>N6+N9-N10</f>
        <v>39255.69899837113</v>
      </c>
      <c r="O11" s="80">
        <f>O6+O9-O10</f>
        <v>57338.39031713166</v>
      </c>
      <c r="P11" s="80">
        <f>P6+P9-P10</f>
        <v>47419.58369023335</v>
      </c>
      <c r="Q11" s="80">
        <f>Q6+Q9-Q10</f>
        <v>342951.1544168476</v>
      </c>
      <c r="R11" s="80">
        <f>R6+R9-R10</f>
        <v>66864.75857426463</v>
      </c>
      <c r="S11" s="80">
        <f>S6+S9-S10</f>
        <v>66864.75857426463</v>
      </c>
      <c r="T11" s="80">
        <f>T6+T9-T10</f>
        <v>47534.25857426465</v>
      </c>
      <c r="U11" s="80">
        <f>U6+U9-U10</f>
        <v>55702.75241124116</v>
      </c>
      <c r="V11" s="80">
        <f>V6+V9-V10</f>
        <v>47536.41496922553</v>
      </c>
      <c r="W11" s="80">
        <f>W6+W9-W10</f>
        <v>344002.6359277772</v>
      </c>
      <c r="X11" s="80">
        <f>X6+X9-X10</f>
        <v>69551.87799108472</v>
      </c>
      <c r="Y11" s="80">
        <f>Y6+Y9-Y10</f>
        <v>70252.86566503778</v>
      </c>
      <c r="Z11" s="85">
        <f>SUMIF($B$13:$Y$13,"Yes",B11:Y11)</f>
        <v>1297864.182441449</v>
      </c>
      <c r="AA11" s="80">
        <f>SUM(B11:M11)</f>
        <v>1258608.483443077</v>
      </c>
      <c r="AB11" s="46">
        <f>SUM(B11:Y11)</f>
        <v>2513883.633552821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0.008002787941523466</v>
      </c>
      <c r="D12" s="82">
        <f>IF(D13="Yes",IF(SUM($B$10:D10)/(SUM($B$6:D6)+SUM($B$9:D9))&lt;0,999.99,SUM($B$10:D10)/(SUM($B$6:D6)+SUM($B$9:D9))),"")</f>
        <v>0.01303711242563372</v>
      </c>
      <c r="E12" s="82">
        <f>IF(E13="Yes",IF(SUM($B$10:E10)/(SUM($B$6:E6)+SUM($B$9:E9))&lt;0,999.99,SUM($B$10:E10)/(SUM($B$6:E6)+SUM($B$9:E9))),"")</f>
        <v>0.02505715143307117</v>
      </c>
      <c r="F12" s="82">
        <f>IF(F13="Yes",IF(SUM($B$10:F10)/(SUM($B$6:F6)+SUM($B$9:F9))&lt;0,999.99,SUM($B$10:F10)/(SUM($B$6:F6)+SUM($B$9:F9))),"")</f>
        <v>0.04007034834522161</v>
      </c>
      <c r="G12" s="82">
        <f>IF(G13="Yes",IF(SUM($B$10:G10)/(SUM($B$6:G6)+SUM($B$9:G9))&lt;0,999.99,SUM($B$10:G10)/(SUM($B$6:G6)+SUM($B$9:G9))),"")</f>
        <v>0.05234212737314526</v>
      </c>
      <c r="H12" s="82">
        <f>IF(H13="Yes",IF(SUM($B$10:H10)/(SUM($B$6:H6)+SUM($B$9:H9))&lt;0,999.99,SUM($B$10:H10)/(SUM($B$6:H6)+SUM($B$9:H9))),"")</f>
        <v>0.06411117227579809</v>
      </c>
      <c r="I12" s="82">
        <f>IF(I13="Yes",IF(SUM($B$10:I10)/(SUM($B$6:I6)+SUM($B$9:I9))&lt;0,999.99,SUM($B$10:I10)/(SUM($B$6:I6)+SUM($B$9:I9))),"")</f>
        <v>0.07379944067195066</v>
      </c>
      <c r="J12" s="82">
        <f>IF(J13="Yes",IF(SUM($B$10:J10)/(SUM($B$6:J6)+SUM($B$9:J9))&lt;0,999.99,SUM($B$10:J10)/(SUM($B$6:J6)+SUM($B$9:J9))),"")</f>
        <v>0.0830375651146165</v>
      </c>
      <c r="K12" s="82">
        <f>IF(K13="Yes",IF(SUM($B$10:K10)/(SUM($B$6:K6)+SUM($B$9:K9))&lt;0,999.99,SUM($B$10:K10)/(SUM($B$6:K6)+SUM($B$9:K9))),"")</f>
        <v>0.06926691554014196</v>
      </c>
      <c r="L12" s="82">
        <f>IF(L13="Yes",IF(SUM($B$10:L10)/(SUM($B$6:L6)+SUM($B$9:L9))&lt;0,999.99,SUM($B$10:L10)/(SUM($B$6:L6)+SUM($B$9:L9))),"")</f>
        <v>0.07454884734215951</v>
      </c>
      <c r="M12" s="82">
        <f>IF(M13="Yes",IF(SUM($B$10:M10)/(SUM($B$6:M6)+SUM($B$9:M9))&lt;0,999.99,SUM($B$10:M10)/(SUM($B$6:M6)+SUM($B$9:M9))),"")</f>
        <v>0.07925233686157201</v>
      </c>
      <c r="N12" s="82">
        <f>IF(N13="Yes",IF(SUM($B$10:N10)/(SUM($B$6:N6)+SUM($B$9:N9))&lt;0,999.99,SUM($B$10:N10)/(SUM($B$6:N6)+SUM($B$9:N9))),"")</f>
        <v>0.08463434050035006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Mangoes</v>
      </c>
      <c r="B18" s="36">
        <f>N18</f>
        <v>3504.938369765307</v>
      </c>
      <c r="C18" s="36">
        <f>O18</f>
        <v>2102.963021859183</v>
      </c>
      <c r="D18" s="36">
        <f>P18</f>
        <v>584.1563949608844</v>
      </c>
      <c r="E18" s="36">
        <f>Q18</f>
        <v>116.8312789921769</v>
      </c>
      <c r="F18" s="36">
        <f>R18</f>
        <v>116.8312789921769</v>
      </c>
      <c r="G18" s="36">
        <f>S18</f>
        <v>116.8312789921769</v>
      </c>
      <c r="H18" s="36">
        <f>T18</f>
        <v>116.8312789921769</v>
      </c>
      <c r="I18" s="36">
        <f>U18</f>
        <v>467.3251159687075</v>
      </c>
      <c r="J18" s="36">
        <f>V18</f>
        <v>700.9876739530613</v>
      </c>
      <c r="K18" s="36">
        <f>W18</f>
        <v>1168.312789921769</v>
      </c>
      <c r="L18" s="36">
        <f>X18</f>
        <v>2803.950695812245</v>
      </c>
      <c r="M18" s="36">
        <f>Y18</f>
        <v>3504.938369765307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3504.938369765307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2102.963021859183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584.1563949608844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116.8312789921769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116.8312789921769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116.8312789921769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116.8312789921769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467.3251159687075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700.9876739530613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1168.312789921769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2803.950695812245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3504.938369765307</v>
      </c>
      <c r="Z18" s="36">
        <f>SUMIF($B$13:$Y$13,"Yes",B18:Y18)</f>
        <v>18809.83591774048</v>
      </c>
      <c r="AA18" s="36">
        <f>SUM(B18:M18)</f>
        <v>15304.89754797517</v>
      </c>
      <c r="AB18" s="36">
        <f>SUM(B18:Y18)</f>
        <v>30609.79509595034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37911.1276425</v>
      </c>
      <c r="C19" s="36">
        <f>O19</f>
        <v>37911.1276425</v>
      </c>
      <c r="D19" s="36">
        <f>P19</f>
        <v>37911.1276425</v>
      </c>
      <c r="E19" s="36">
        <f>Q19</f>
        <v>37911.1276425</v>
      </c>
      <c r="F19" s="36">
        <f>R19</f>
        <v>37911.1276425</v>
      </c>
      <c r="G19" s="36">
        <f>S19</f>
        <v>37911.1276425</v>
      </c>
      <c r="H19" s="36">
        <f>T19</f>
        <v>37911.1276425</v>
      </c>
      <c r="I19" s="36">
        <f>U19</f>
        <v>37911.1276425</v>
      </c>
      <c r="J19" s="36">
        <f>V19</f>
        <v>37911.1276425</v>
      </c>
      <c r="K19" s="36">
        <f>W19</f>
        <v>37911.1276425</v>
      </c>
      <c r="L19" s="36">
        <f>X19</f>
        <v>37911.1276425</v>
      </c>
      <c r="M19" s="36">
        <f>Y19</f>
        <v>37911.1276425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37911.1276425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37911.1276425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37911.1276425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37911.1276425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37911.1276425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37911.1276425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37911.1276425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37911.1276425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37911.1276425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37911.1276425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37911.1276425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37911.1276425</v>
      </c>
      <c r="Z19" s="36">
        <f>SUMIF($B$13:$Y$13,"Yes",B19:Y19)</f>
        <v>492844.6593524998</v>
      </c>
      <c r="AA19" s="36">
        <f>SUM(B19:M19)</f>
        <v>454933.5317099998</v>
      </c>
      <c r="AB19" s="36">
        <f>SUM(B19:Y19)</f>
        <v>909867.0634199997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287598.895842583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287598.895842583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287598.895842583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287598.895842583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575197.791685166</v>
      </c>
      <c r="AA20" s="36">
        <f>SUM(B20:M20)</f>
        <v>575197.791685166</v>
      </c>
      <c r="AB20" s="36">
        <f>SUM(B20:Y20)</f>
        <v>1150395.583370332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14799.99999999999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4599.999999999999</v>
      </c>
      <c r="C24" s="36">
        <f>IFERROR(Calculations!$P14/12,"")</f>
        <v>4599.999999999999</v>
      </c>
      <c r="D24" s="36">
        <f>IFERROR(Calculations!$P14/12,"")</f>
        <v>4599.999999999999</v>
      </c>
      <c r="E24" s="36">
        <f>IFERROR(Calculations!$P14/12,"")</f>
        <v>4599.999999999999</v>
      </c>
      <c r="F24" s="36">
        <f>IFERROR(Calculations!$P14/12,"")</f>
        <v>4599.999999999999</v>
      </c>
      <c r="G24" s="36">
        <f>IFERROR(Calculations!$P14/12,"")</f>
        <v>4599.999999999999</v>
      </c>
      <c r="H24" s="36">
        <f>IFERROR(Calculations!$P14/12,"")</f>
        <v>4599.999999999999</v>
      </c>
      <c r="I24" s="36">
        <f>IFERROR(Calculations!$P14/12,"")</f>
        <v>4599.999999999999</v>
      </c>
      <c r="J24" s="36">
        <f>IFERROR(Calculations!$P14/12,"")</f>
        <v>4599.999999999999</v>
      </c>
      <c r="K24" s="36">
        <f>IFERROR(Calculations!$P14/12,"")</f>
        <v>4599.999999999999</v>
      </c>
      <c r="L24" s="36">
        <f>IFERROR(Calculations!$P14/12,"")</f>
        <v>4599.999999999999</v>
      </c>
      <c r="M24" s="36">
        <f>IFERROR(Calculations!$P14/12,"")</f>
        <v>4599.999999999999</v>
      </c>
      <c r="N24" s="36">
        <f>IFERROR(Calculations!$P14/12,"")</f>
        <v>4599.999999999999</v>
      </c>
      <c r="O24" s="36">
        <f>IFERROR(Calculations!$P14/12,"")</f>
        <v>4599.999999999999</v>
      </c>
      <c r="P24" s="36">
        <f>IFERROR(Calculations!$P14/12,"")</f>
        <v>4599.999999999999</v>
      </c>
      <c r="Q24" s="36">
        <f>IFERROR(Calculations!$P14/12,"")</f>
        <v>4599.999999999999</v>
      </c>
      <c r="R24" s="36">
        <f>IFERROR(Calculations!$P14/12,"")</f>
        <v>4599.999999999999</v>
      </c>
      <c r="S24" s="36">
        <f>IFERROR(Calculations!$P14/12,"")</f>
        <v>4599.999999999999</v>
      </c>
      <c r="T24" s="36">
        <f>IFERROR(Calculations!$P14/12,"")</f>
        <v>4599.999999999999</v>
      </c>
      <c r="U24" s="36">
        <f>IFERROR(Calculations!$P14/12,"")</f>
        <v>4599.999999999999</v>
      </c>
      <c r="V24" s="36">
        <f>IFERROR(Calculations!$P14/12,"")</f>
        <v>4599.999999999999</v>
      </c>
      <c r="W24" s="36">
        <f>IFERROR(Calculations!$P14/12,"")</f>
        <v>4599.999999999999</v>
      </c>
      <c r="X24" s="36">
        <f>IFERROR(Calculations!$P14/12,"")</f>
        <v>4599.999999999999</v>
      </c>
      <c r="Y24" s="36">
        <f>IFERROR(Calculations!$P14/12,"")</f>
        <v>4599.999999999999</v>
      </c>
      <c r="Z24" s="36">
        <f>SUMIF($B$13:$Y$13,"Yes",B24:Y24)</f>
        <v>59799.99999999999</v>
      </c>
      <c r="AA24" s="36">
        <f>SUM(B24:M24)</f>
        <v>55199.99999999999</v>
      </c>
      <c r="AB24" s="46">
        <f>SUM(B24:Y24)</f>
        <v>110400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15128.28947368421</v>
      </c>
      <c r="C25" s="36">
        <f>IFERROR(Calculations!$P15/12,"")</f>
        <v>15128.28947368421</v>
      </c>
      <c r="D25" s="36">
        <f>IFERROR(Calculations!$P15/12,"")</f>
        <v>15128.28947368421</v>
      </c>
      <c r="E25" s="36">
        <f>IFERROR(Calculations!$P15/12,"")</f>
        <v>15128.28947368421</v>
      </c>
      <c r="F25" s="36">
        <f>IFERROR(Calculations!$P15/12,"")</f>
        <v>15128.28947368421</v>
      </c>
      <c r="G25" s="36">
        <f>IFERROR(Calculations!$P15/12,"")</f>
        <v>15128.28947368421</v>
      </c>
      <c r="H25" s="36">
        <f>IFERROR(Calculations!$P15/12,"")</f>
        <v>15128.28947368421</v>
      </c>
      <c r="I25" s="36">
        <f>IFERROR(Calculations!$P15/12,"")</f>
        <v>15128.28947368421</v>
      </c>
      <c r="J25" s="36">
        <f>IFERROR(Calculations!$P15/12,"")</f>
        <v>15128.28947368421</v>
      </c>
      <c r="K25" s="36">
        <f>IFERROR(Calculations!$P15/12,"")</f>
        <v>15128.28947368421</v>
      </c>
      <c r="L25" s="36">
        <f>IFERROR(Calculations!$P15/12,"")</f>
        <v>15128.28947368421</v>
      </c>
      <c r="M25" s="36">
        <f>IFERROR(Calculations!$P15/12,"")</f>
        <v>15128.28947368421</v>
      </c>
      <c r="N25" s="36">
        <f>IFERROR(Calculations!$P15/12,"")</f>
        <v>15128.28947368421</v>
      </c>
      <c r="O25" s="36">
        <f>IFERROR(Calculations!$P15/12,"")</f>
        <v>15128.28947368421</v>
      </c>
      <c r="P25" s="36">
        <f>IFERROR(Calculations!$P15/12,"")</f>
        <v>15128.28947368421</v>
      </c>
      <c r="Q25" s="36">
        <f>IFERROR(Calculations!$P15/12,"")</f>
        <v>15128.28947368421</v>
      </c>
      <c r="R25" s="36">
        <f>IFERROR(Calculations!$P15/12,"")</f>
        <v>15128.28947368421</v>
      </c>
      <c r="S25" s="36">
        <f>IFERROR(Calculations!$P15/12,"")</f>
        <v>15128.28947368421</v>
      </c>
      <c r="T25" s="36">
        <f>IFERROR(Calculations!$P15/12,"")</f>
        <v>15128.28947368421</v>
      </c>
      <c r="U25" s="36">
        <f>IFERROR(Calculations!$P15/12,"")</f>
        <v>15128.28947368421</v>
      </c>
      <c r="V25" s="36">
        <f>IFERROR(Calculations!$P15/12,"")</f>
        <v>15128.28947368421</v>
      </c>
      <c r="W25" s="36">
        <f>IFERROR(Calculations!$P15/12,"")</f>
        <v>15128.28947368421</v>
      </c>
      <c r="X25" s="36">
        <f>IFERROR(Calculations!$P15/12,"")</f>
        <v>15128.28947368421</v>
      </c>
      <c r="Y25" s="36">
        <f>IFERROR(Calculations!$P15/12,"")</f>
        <v>15128.28947368421</v>
      </c>
      <c r="Z25" s="36">
        <f>SUMIF($B$13:$Y$13,"Yes",B25:Y25)</f>
        <v>196667.7631578947</v>
      </c>
      <c r="AA25" s="36">
        <f>SUM(B25:M25)</f>
        <v>181539.4736842105</v>
      </c>
      <c r="AB25" s="46">
        <f>SUM(B25:Y25)</f>
        <v>363078.9473684211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125600</v>
      </c>
      <c r="C29" s="37">
        <f>Inputs!$B$30</f>
        <v>125600</v>
      </c>
      <c r="D29" s="37">
        <f>Inputs!$B$30</f>
        <v>125600</v>
      </c>
      <c r="E29" s="37">
        <f>Inputs!$B$30</f>
        <v>125600</v>
      </c>
      <c r="F29" s="37">
        <f>Inputs!$B$30</f>
        <v>125600</v>
      </c>
      <c r="G29" s="37">
        <f>Inputs!$B$30</f>
        <v>125600</v>
      </c>
      <c r="H29" s="37">
        <f>Inputs!$B$30</f>
        <v>125600</v>
      </c>
      <c r="I29" s="37">
        <f>Inputs!$B$30</f>
        <v>125600</v>
      </c>
      <c r="J29" s="37">
        <f>Inputs!$B$30</f>
        <v>125600</v>
      </c>
      <c r="K29" s="37">
        <f>Inputs!$B$30</f>
        <v>125600</v>
      </c>
      <c r="L29" s="37">
        <f>Inputs!$B$30</f>
        <v>125600</v>
      </c>
      <c r="M29" s="37">
        <f>Inputs!$B$30</f>
        <v>125600</v>
      </c>
      <c r="N29" s="37">
        <f>Inputs!$B$30</f>
        <v>125600</v>
      </c>
      <c r="O29" s="37">
        <f>Inputs!$B$30</f>
        <v>125600</v>
      </c>
      <c r="P29" s="37">
        <f>Inputs!$B$30</f>
        <v>125600</v>
      </c>
      <c r="Q29" s="37">
        <f>Inputs!$B$30</f>
        <v>125600</v>
      </c>
      <c r="R29" s="37">
        <f>Inputs!$B$30</f>
        <v>125600</v>
      </c>
      <c r="S29" s="37">
        <f>Inputs!$B$30</f>
        <v>125600</v>
      </c>
      <c r="T29" s="37">
        <f>Inputs!$B$30</f>
        <v>125600</v>
      </c>
      <c r="U29" s="37">
        <f>Inputs!$B$30</f>
        <v>125600</v>
      </c>
      <c r="V29" s="37">
        <f>Inputs!$B$30</f>
        <v>125600</v>
      </c>
      <c r="W29" s="37">
        <f>Inputs!$B$30</f>
        <v>125600</v>
      </c>
      <c r="X29" s="37">
        <f>Inputs!$B$30</f>
        <v>125600</v>
      </c>
      <c r="Y29" s="37">
        <f>Inputs!$B$30</f>
        <v>125600</v>
      </c>
      <c r="Z29" s="37">
        <f>SUMIF($B$13:$Y$13,"Yes",B29:Y29)</f>
        <v>1632800</v>
      </c>
      <c r="AA29" s="37">
        <f>SUM(B29:M29)</f>
        <v>1507200</v>
      </c>
      <c r="AB29" s="37">
        <f>SUM(B29:Y29)</f>
        <v>3014400</v>
      </c>
    </row>
    <row r="30" spans="1:30" customHeight="1" ht="15.75">
      <c r="A30" s="1" t="s">
        <v>37</v>
      </c>
      <c r="B30" s="19">
        <f>SUM(B18:B29)</f>
        <v>186744.3554859495</v>
      </c>
      <c r="C30" s="19">
        <f>SUM(C18:C29)</f>
        <v>185342.3801380434</v>
      </c>
      <c r="D30" s="19">
        <f>SUM(D18:D29)</f>
        <v>183823.5735111451</v>
      </c>
      <c r="E30" s="19">
        <f>SUM(E18:E29)</f>
        <v>470955.1442377593</v>
      </c>
      <c r="F30" s="19">
        <f>SUM(F18:F29)</f>
        <v>183356.2483951764</v>
      </c>
      <c r="G30" s="19">
        <f>SUM(G18:G29)</f>
        <v>183356.2483951764</v>
      </c>
      <c r="H30" s="19">
        <f>SUM(H18:H29)</f>
        <v>183356.2483951764</v>
      </c>
      <c r="I30" s="19">
        <f>SUM(I18:I29)</f>
        <v>183706.7422321529</v>
      </c>
      <c r="J30" s="19">
        <f>SUM(J18:J29)</f>
        <v>183940.4047901373</v>
      </c>
      <c r="K30" s="19">
        <f>SUM(K18:K29)</f>
        <v>472006.6257486889</v>
      </c>
      <c r="L30" s="19">
        <f>SUM(L18:L29)</f>
        <v>186043.3678119965</v>
      </c>
      <c r="M30" s="19">
        <f>SUM(M18:M29)</f>
        <v>186744.3554859495</v>
      </c>
      <c r="N30" s="19">
        <f>SUM(N18:N29)</f>
        <v>186744.3554859495</v>
      </c>
      <c r="O30" s="19">
        <f>SUM(O18:O29)</f>
        <v>185342.3801380434</v>
      </c>
      <c r="P30" s="19">
        <f>SUM(P18:P29)</f>
        <v>183823.5735111451</v>
      </c>
      <c r="Q30" s="19">
        <f>SUM(Q18:Q29)</f>
        <v>470955.1442377593</v>
      </c>
      <c r="R30" s="19">
        <f>SUM(R18:R29)</f>
        <v>183356.2483951764</v>
      </c>
      <c r="S30" s="19">
        <f>SUM(S18:S29)</f>
        <v>183356.2483951764</v>
      </c>
      <c r="T30" s="19">
        <f>SUM(T18:T29)</f>
        <v>183356.2483951764</v>
      </c>
      <c r="U30" s="19">
        <f>SUM(U18:U29)</f>
        <v>183706.7422321529</v>
      </c>
      <c r="V30" s="19">
        <f>SUM(V18:V29)</f>
        <v>183940.4047901373</v>
      </c>
      <c r="W30" s="19">
        <f>SUM(W18:W29)</f>
        <v>472006.6257486889</v>
      </c>
      <c r="X30" s="19">
        <f>SUM(X18:X29)</f>
        <v>186043.3678119965</v>
      </c>
      <c r="Y30" s="19">
        <f>SUM(Y18:Y29)</f>
        <v>186744.3554859495</v>
      </c>
      <c r="Z30" s="19">
        <f>SUMIF($B$13:$Y$13,"Yes",B30:Y30)</f>
        <v>2976120.050113301</v>
      </c>
      <c r="AA30" s="19">
        <f>SUM(B30:M30)</f>
        <v>2789375.694627352</v>
      </c>
      <c r="AB30" s="19">
        <f>SUM(B30:Y30)</f>
        <v>5578751.389254704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6666.666666666667</v>
      </c>
      <c r="C36" s="36">
        <f>O36</f>
        <v>666.6666666666666</v>
      </c>
      <c r="D36" s="36">
        <f>P36</f>
        <v>666.6666666666666</v>
      </c>
      <c r="E36" s="36">
        <f>Q36</f>
        <v>666.6666666666666</v>
      </c>
      <c r="F36" s="36">
        <f>R36</f>
        <v>666.6666666666666</v>
      </c>
      <c r="G36" s="36">
        <f>S36</f>
        <v>666.6666666666666</v>
      </c>
      <c r="H36" s="36">
        <f>T36</f>
        <v>6666.666666666667</v>
      </c>
      <c r="I36" s="36">
        <f>U36</f>
        <v>666.6666666666666</v>
      </c>
      <c r="J36" s="36">
        <f>V36</f>
        <v>666.6666666666666</v>
      </c>
      <c r="K36" s="36">
        <f>W36</f>
        <v>666.6666666666666</v>
      </c>
      <c r="L36" s="36">
        <f>X36</f>
        <v>666.6666666666666</v>
      </c>
      <c r="M36" s="36">
        <f>Y36</f>
        <v>666.6666666666666</v>
      </c>
      <c r="N36" s="36">
        <f>SUM(N37:N41)</f>
        <v>6666.666666666667</v>
      </c>
      <c r="O36" s="36">
        <f>SUM(O37:O41)</f>
        <v>666.6666666666666</v>
      </c>
      <c r="P36" s="36">
        <f>SUM(P37:P41)</f>
        <v>666.6666666666666</v>
      </c>
      <c r="Q36" s="36">
        <f>SUM(Q37:Q41)</f>
        <v>666.6666666666666</v>
      </c>
      <c r="R36" s="36">
        <f>SUM(R37:R41)</f>
        <v>666.6666666666666</v>
      </c>
      <c r="S36" s="36">
        <f>SUM(S37:S41)</f>
        <v>666.6666666666666</v>
      </c>
      <c r="T36" s="36">
        <f>SUM(T37:T41)</f>
        <v>6666.666666666667</v>
      </c>
      <c r="U36" s="36">
        <f>SUM(U37:U41)</f>
        <v>666.6666666666666</v>
      </c>
      <c r="V36" s="36">
        <f>SUM(V37:V41)</f>
        <v>666.6666666666666</v>
      </c>
      <c r="W36" s="36">
        <f>SUM(W37:W41)</f>
        <v>666.6666666666666</v>
      </c>
      <c r="X36" s="36">
        <f>SUM(X37:X41)</f>
        <v>666.6666666666666</v>
      </c>
      <c r="Y36" s="36">
        <f>SUM(Y37:Y41)</f>
        <v>666.6666666666666</v>
      </c>
      <c r="Z36" s="36">
        <f>SUMIF($B$13:$Y$13,"Yes",B36:Y36)</f>
        <v>26666.66666666668</v>
      </c>
      <c r="AA36" s="36">
        <f>SUM(B36:M36)</f>
        <v>20000.00000000001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Mangoes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Bananas</v>
      </c>
      <c r="B38" s="36">
        <f>N38</f>
        <v>500</v>
      </c>
      <c r="C38" s="36">
        <f>O38</f>
        <v>500</v>
      </c>
      <c r="D38" s="36">
        <f>P38</f>
        <v>500</v>
      </c>
      <c r="E38" s="36">
        <f>Q38</f>
        <v>500</v>
      </c>
      <c r="F38" s="36">
        <f>R38</f>
        <v>500</v>
      </c>
      <c r="G38" s="36">
        <f>S38</f>
        <v>500</v>
      </c>
      <c r="H38" s="36">
        <f>T38</f>
        <v>500</v>
      </c>
      <c r="I38" s="36">
        <f>U38</f>
        <v>500</v>
      </c>
      <c r="J38" s="36">
        <f>V38</f>
        <v>500</v>
      </c>
      <c r="K38" s="36">
        <f>W38</f>
        <v>500</v>
      </c>
      <c r="L38" s="36">
        <f>X38</f>
        <v>500</v>
      </c>
      <c r="M38" s="36">
        <f>Y38</f>
        <v>500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500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500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500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500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500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500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500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500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500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500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500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500</v>
      </c>
      <c r="Z38" s="36">
        <f>SUMIF($B$13:$Y$13,"Yes",B38:Y38)</f>
        <v>6500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 t="str">
        <f>Calculations!$A$6</f>
        <v>Cabbages</v>
      </c>
      <c r="B39" s="36">
        <f>N39</f>
        <v>6000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6000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6000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6000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18000</v>
      </c>
      <c r="AA39" s="36">
        <f>SUM(B39:M39)</f>
        <v>12000</v>
      </c>
      <c r="AB39" s="36">
        <f>SUM(B39:Y39)</f>
        <v>24000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1818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1818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1818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1818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5454</v>
      </c>
      <c r="AA42" s="36">
        <f>SUM(B42:M42)</f>
        <v>3636</v>
      </c>
      <c r="AB42" s="36">
        <f>SUM(B42:Y42)</f>
        <v>7272</v>
      </c>
    </row>
    <row r="43" spans="1:30" hidden="true" outlineLevel="1">
      <c r="A43" s="181" t="str">
        <f>Calculations!$A$4</f>
        <v>Mangoes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1818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1818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1818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1818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5454</v>
      </c>
      <c r="AA45" s="36">
        <f>SUM(B45:M45)</f>
        <v>3636</v>
      </c>
      <c r="AB45" s="36">
        <f>SUM(B45:Y45)</f>
        <v>7272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8400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8400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8400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8400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16800</v>
      </c>
      <c r="AA48" s="46">
        <f>SUM(B48:M48)</f>
        <v>16800</v>
      </c>
      <c r="AB48" s="46">
        <f>SUM(B48:Y48)</f>
        <v>33600</v>
      </c>
    </row>
    <row r="49" spans="1:30" hidden="true" outlineLevel="1">
      <c r="A49" s="181" t="str">
        <f>Calculations!$A$4</f>
        <v>Mangoes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8400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8400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8400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8400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16800</v>
      </c>
      <c r="AA51" s="46">
        <f>SUM(B51:M51)</f>
        <v>16800</v>
      </c>
      <c r="AB51" s="46">
        <f>SUM(B51:Y51)</f>
        <v>33600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Mangoes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6000</v>
      </c>
      <c r="E60" s="36">
        <f>Q60</f>
        <v>6000</v>
      </c>
      <c r="F60" s="36">
        <f>R60</f>
        <v>0</v>
      </c>
      <c r="G60" s="36">
        <f>S60</f>
        <v>0</v>
      </c>
      <c r="H60" s="36">
        <f>T60</f>
        <v>6000</v>
      </c>
      <c r="I60" s="36">
        <f>U60</f>
        <v>6000</v>
      </c>
      <c r="J60" s="36">
        <f>V60</f>
        <v>6000</v>
      </c>
      <c r="K60" s="36">
        <f>W60</f>
        <v>6000</v>
      </c>
      <c r="L60" s="36">
        <f>X60</f>
        <v>0</v>
      </c>
      <c r="M60" s="36">
        <f>Y60</f>
        <v>0</v>
      </c>
      <c r="N60" s="46">
        <f>SUM(N61:N65)</f>
        <v>6000</v>
      </c>
      <c r="O60" s="46">
        <f>SUM(O61:O65)</f>
        <v>6000</v>
      </c>
      <c r="P60" s="46">
        <f>SUM(P61:P65)</f>
        <v>6000</v>
      </c>
      <c r="Q60" s="46">
        <f>SUM(Q61:Q65)</f>
        <v>6000</v>
      </c>
      <c r="R60" s="46">
        <f>SUM(R61:R65)</f>
        <v>0</v>
      </c>
      <c r="S60" s="46">
        <f>SUM(S61:S65)</f>
        <v>0</v>
      </c>
      <c r="T60" s="46">
        <f>SUM(T61:T65)</f>
        <v>6000</v>
      </c>
      <c r="U60" s="46">
        <f>SUM(U61:U65)</f>
        <v>6000</v>
      </c>
      <c r="V60" s="46">
        <f>SUM(V61:V65)</f>
        <v>6000</v>
      </c>
      <c r="W60" s="46">
        <f>SUM(W61:W65)</f>
        <v>6000</v>
      </c>
      <c r="X60" s="46">
        <f>SUM(X61:X65)</f>
        <v>0</v>
      </c>
      <c r="Y60" s="46">
        <f>SUM(Y61:Y65)</f>
        <v>0</v>
      </c>
      <c r="Z60" s="46">
        <f>SUMIF($B$13:$Y$13,"Yes",B60:Y60)</f>
        <v>54000</v>
      </c>
      <c r="AA60" s="46">
        <f>SUM(B60:M60)</f>
        <v>48000</v>
      </c>
      <c r="AB60" s="46">
        <f>SUM(B60:Y60)</f>
        <v>96000</v>
      </c>
    </row>
    <row r="61" spans="1:30" hidden="true" outlineLevel="1">
      <c r="A61" s="181" t="str">
        <f>Calculations!$A$4</f>
        <v>Mangoes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6000</v>
      </c>
      <c r="C63" s="36">
        <f>O63</f>
        <v>6000</v>
      </c>
      <c r="D63" s="36">
        <f>P63</f>
        <v>6000</v>
      </c>
      <c r="E63" s="36">
        <f>Q63</f>
        <v>6000</v>
      </c>
      <c r="F63" s="36">
        <f>R63</f>
        <v>0</v>
      </c>
      <c r="G63" s="36">
        <f>S63</f>
        <v>0</v>
      </c>
      <c r="H63" s="36">
        <f>T63</f>
        <v>6000</v>
      </c>
      <c r="I63" s="36">
        <f>U63</f>
        <v>6000</v>
      </c>
      <c r="J63" s="36">
        <f>V63</f>
        <v>6000</v>
      </c>
      <c r="K63" s="36">
        <f>W63</f>
        <v>6000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6000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6000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6000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6000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6000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6000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6000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6000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54000</v>
      </c>
      <c r="AA63" s="46">
        <f>SUM(B63:M63)</f>
        <v>48000</v>
      </c>
      <c r="AB63" s="46">
        <f>SUM(B63:Y63)</f>
        <v>96000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7370.416666666666</v>
      </c>
      <c r="C66" s="36">
        <f>O66</f>
        <v>7370.416666666666</v>
      </c>
      <c r="D66" s="36">
        <f>P66</f>
        <v>7370.416666666666</v>
      </c>
      <c r="E66" s="36">
        <f>Q66</f>
        <v>7370.416666666666</v>
      </c>
      <c r="F66" s="36">
        <f>R66</f>
        <v>1857.916666666667</v>
      </c>
      <c r="G66" s="36">
        <f>S66</f>
        <v>1857.916666666667</v>
      </c>
      <c r="H66" s="36">
        <f>T66</f>
        <v>7370.416666666666</v>
      </c>
      <c r="I66" s="36">
        <f>U66</f>
        <v>7370.416666666666</v>
      </c>
      <c r="J66" s="36">
        <f>V66</f>
        <v>7370.416666666666</v>
      </c>
      <c r="K66" s="36">
        <f>W66</f>
        <v>7370.416666666666</v>
      </c>
      <c r="L66" s="36">
        <f>X66</f>
        <v>1857.916666666667</v>
      </c>
      <c r="M66" s="36">
        <f>Y66</f>
        <v>1857.916666666667</v>
      </c>
      <c r="N66" s="46">
        <f>SUM(N67:N71)</f>
        <v>7370.416666666666</v>
      </c>
      <c r="O66" s="46">
        <f>SUM(O67:O71)</f>
        <v>7370.416666666666</v>
      </c>
      <c r="P66" s="46">
        <f>SUM(P67:P71)</f>
        <v>7370.416666666666</v>
      </c>
      <c r="Q66" s="46">
        <f>SUM(Q67:Q71)</f>
        <v>7370.416666666666</v>
      </c>
      <c r="R66" s="46">
        <f>SUM(R67:R71)</f>
        <v>1857.916666666667</v>
      </c>
      <c r="S66" s="46">
        <f>SUM(S67:S71)</f>
        <v>1857.916666666667</v>
      </c>
      <c r="T66" s="46">
        <f>SUM(T67:T71)</f>
        <v>7370.416666666666</v>
      </c>
      <c r="U66" s="46">
        <f>SUM(U67:U71)</f>
        <v>7370.416666666666</v>
      </c>
      <c r="V66" s="46">
        <f>SUM(V67:V71)</f>
        <v>7370.416666666666</v>
      </c>
      <c r="W66" s="46">
        <f>SUM(W67:W71)</f>
        <v>7370.416666666666</v>
      </c>
      <c r="X66" s="46">
        <f>SUM(X67:X71)</f>
        <v>1857.916666666667</v>
      </c>
      <c r="Y66" s="46">
        <f>SUM(Y67:Y71)</f>
        <v>1857.916666666667</v>
      </c>
      <c r="Z66" s="46">
        <f>SUMIF($B$13:$Y$13,"Yes",B66:Y66)</f>
        <v>73765.41666666666</v>
      </c>
      <c r="AA66" s="46">
        <f>SUM(B66:M66)</f>
        <v>66394.99999999999</v>
      </c>
      <c r="AB66" s="46">
        <f>SUM(B66:Y66)</f>
        <v>132790</v>
      </c>
    </row>
    <row r="67" spans="1:30" hidden="true" outlineLevel="1">
      <c r="A67" s="181" t="str">
        <f>Calculations!$A$4</f>
        <v>Mangoes</v>
      </c>
      <c r="B67" s="36">
        <f>N67</f>
        <v>326.6666666666667</v>
      </c>
      <c r="C67" s="36">
        <f>O67</f>
        <v>326.6666666666667</v>
      </c>
      <c r="D67" s="36">
        <f>P67</f>
        <v>326.6666666666667</v>
      </c>
      <c r="E67" s="36">
        <f>Q67</f>
        <v>326.6666666666667</v>
      </c>
      <c r="F67" s="36">
        <f>R67</f>
        <v>326.6666666666667</v>
      </c>
      <c r="G67" s="36">
        <f>S67</f>
        <v>326.6666666666667</v>
      </c>
      <c r="H67" s="36">
        <f>T67</f>
        <v>326.6666666666667</v>
      </c>
      <c r="I67" s="36">
        <f>U67</f>
        <v>326.6666666666667</v>
      </c>
      <c r="J67" s="36">
        <f>V67</f>
        <v>326.6666666666667</v>
      </c>
      <c r="K67" s="36">
        <f>W67</f>
        <v>326.6666666666667</v>
      </c>
      <c r="L67" s="36">
        <f>X67</f>
        <v>326.6666666666667</v>
      </c>
      <c r="M67" s="36">
        <f>Y67</f>
        <v>326.6666666666667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326.6666666666667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326.6666666666667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326.6666666666667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326.6666666666667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326.6666666666667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326.6666666666667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326.6666666666667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326.6666666666667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326.6666666666667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326.6666666666667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326.6666666666667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326.6666666666667</v>
      </c>
      <c r="Z67" s="46">
        <f>SUMIF($B$13:$Y$13,"Yes",B67:Y67)</f>
        <v>4246.666666666666</v>
      </c>
      <c r="AA67" s="46">
        <f>SUM(B67:M67)</f>
        <v>3920</v>
      </c>
      <c r="AB67" s="46">
        <f>SUM(B67:Y67)</f>
        <v>7840.000000000003</v>
      </c>
    </row>
    <row r="68" spans="1:30" hidden="true" outlineLevel="1">
      <c r="A68" s="181" t="str">
        <f>Calculations!$A$5</f>
        <v>Bananas</v>
      </c>
      <c r="B68" s="36">
        <f>N68</f>
        <v>1531.25</v>
      </c>
      <c r="C68" s="36">
        <f>O68</f>
        <v>1531.25</v>
      </c>
      <c r="D68" s="36">
        <f>P68</f>
        <v>1531.25</v>
      </c>
      <c r="E68" s="36">
        <f>Q68</f>
        <v>1531.25</v>
      </c>
      <c r="F68" s="36">
        <f>R68</f>
        <v>1531.25</v>
      </c>
      <c r="G68" s="36">
        <f>S68</f>
        <v>1531.25</v>
      </c>
      <c r="H68" s="36">
        <f>T68</f>
        <v>1531.25</v>
      </c>
      <c r="I68" s="36">
        <f>U68</f>
        <v>1531.25</v>
      </c>
      <c r="J68" s="36">
        <f>V68</f>
        <v>1531.25</v>
      </c>
      <c r="K68" s="36">
        <f>W68</f>
        <v>1531.25</v>
      </c>
      <c r="L68" s="36">
        <f>X68</f>
        <v>1531.25</v>
      </c>
      <c r="M68" s="36">
        <f>Y68</f>
        <v>1531.25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1531.25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1531.25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1531.25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1531.25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1531.25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1531.25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1531.25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1531.25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1531.25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1531.25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1531.25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1531.25</v>
      </c>
      <c r="Z68" s="46">
        <f>SUMIF($B$13:$Y$13,"Yes",B68:Y68)</f>
        <v>19906.25</v>
      </c>
      <c r="AA68" s="46">
        <f>SUM(B68:M68)</f>
        <v>18375</v>
      </c>
      <c r="AB68" s="46">
        <f>SUM(B68:Y68)</f>
        <v>36750</v>
      </c>
    </row>
    <row r="69" spans="1:30" hidden="true" outlineLevel="1">
      <c r="A69" s="181" t="str">
        <f>Calculations!$A$6</f>
        <v>Cabbages</v>
      </c>
      <c r="B69" s="36">
        <f>N69</f>
        <v>5512.499999999999</v>
      </c>
      <c r="C69" s="36">
        <f>O69</f>
        <v>5512.499999999999</v>
      </c>
      <c r="D69" s="36">
        <f>P69</f>
        <v>5512.499999999999</v>
      </c>
      <c r="E69" s="36">
        <f>Q69</f>
        <v>5512.499999999999</v>
      </c>
      <c r="F69" s="36">
        <f>R69</f>
        <v>0</v>
      </c>
      <c r="G69" s="36">
        <f>S69</f>
        <v>0</v>
      </c>
      <c r="H69" s="36">
        <f>T69</f>
        <v>5512.499999999999</v>
      </c>
      <c r="I69" s="36">
        <f>U69</f>
        <v>5512.499999999999</v>
      </c>
      <c r="J69" s="36">
        <f>V69</f>
        <v>5512.499999999999</v>
      </c>
      <c r="K69" s="36">
        <f>W69</f>
        <v>5512.499999999999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5512.499999999999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5512.499999999999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5512.499999999999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5512.499999999999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5512.499999999999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5512.499999999999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5512.499999999999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5512.499999999999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49612.49999999999</v>
      </c>
      <c r="AA69" s="46">
        <f>SUM(B69:M69)</f>
        <v>44099.99999999999</v>
      </c>
      <c r="AB69" s="46">
        <f>SUM(B69:Y69)</f>
        <v>88199.99999999999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183.3333333333333</v>
      </c>
      <c r="C75" s="46">
        <f>SUM(Calculations!$R$14:$R$16)/12</f>
        <v>183.3333333333333</v>
      </c>
      <c r="D75" s="46">
        <f>SUM(Calculations!$R$14:$R$16)/12</f>
        <v>183.3333333333333</v>
      </c>
      <c r="E75" s="46">
        <f>SUM(Calculations!$R$14:$R$16)/12</f>
        <v>183.3333333333333</v>
      </c>
      <c r="F75" s="46">
        <f>SUM(Calculations!$R$14:$R$16)/12</f>
        <v>183.3333333333333</v>
      </c>
      <c r="G75" s="46">
        <f>SUM(Calculations!$R$14:$R$16)/12</f>
        <v>183.3333333333333</v>
      </c>
      <c r="H75" s="46">
        <f>SUM(Calculations!$R$14:$R$16)/12</f>
        <v>183.3333333333333</v>
      </c>
      <c r="I75" s="46">
        <f>SUM(Calculations!$R$14:$R$16)/12</f>
        <v>183.3333333333333</v>
      </c>
      <c r="J75" s="46">
        <f>SUM(Calculations!$R$14:$R$16)/12</f>
        <v>183.3333333333333</v>
      </c>
      <c r="K75" s="46">
        <f>SUM(Calculations!$R$14:$R$16)/12</f>
        <v>183.3333333333333</v>
      </c>
      <c r="L75" s="46">
        <f>SUM(Calculations!$R$14:$R$16)/12</f>
        <v>183.3333333333333</v>
      </c>
      <c r="M75" s="46">
        <f>SUM(Calculations!$R$14:$R$16)/12</f>
        <v>183.3333333333333</v>
      </c>
      <c r="N75" s="46">
        <f>SUM(Calculations!$R$14:$R$16)/12</f>
        <v>183.3333333333333</v>
      </c>
      <c r="O75" s="46">
        <f>SUM(Calculations!$R$14:$R$16)/12</f>
        <v>183.3333333333333</v>
      </c>
      <c r="P75" s="46">
        <f>SUM(Calculations!$R$14:$R$16)/12</f>
        <v>183.3333333333333</v>
      </c>
      <c r="Q75" s="46">
        <f>SUM(Calculations!$R$14:$R$16)/12</f>
        <v>183.3333333333333</v>
      </c>
      <c r="R75" s="46">
        <f>SUM(Calculations!$R$14:$R$16)/12</f>
        <v>183.3333333333333</v>
      </c>
      <c r="S75" s="46">
        <f>SUM(Calculations!$R$14:$R$16)/12</f>
        <v>183.3333333333333</v>
      </c>
      <c r="T75" s="46">
        <f>SUM(Calculations!$R$14:$R$16)/12</f>
        <v>183.3333333333333</v>
      </c>
      <c r="U75" s="46">
        <f>SUM(Calculations!$R$14:$R$16)/12</f>
        <v>183.3333333333333</v>
      </c>
      <c r="V75" s="46">
        <f>SUM(Calculations!$R$14:$R$16)/12</f>
        <v>183.3333333333333</v>
      </c>
      <c r="W75" s="46">
        <f>SUM(Calculations!$R$14:$R$16)/12</f>
        <v>183.3333333333333</v>
      </c>
      <c r="X75" s="46">
        <f>SUM(Calculations!$R$14:$R$16)/12</f>
        <v>183.3333333333333</v>
      </c>
      <c r="Y75" s="46">
        <f>SUM(Calculations!$R$14:$R$16)/12</f>
        <v>183.3333333333333</v>
      </c>
      <c r="Z75" s="46">
        <f>SUMIF($B$13:$Y$13,"Yes",B75:Y75)</f>
        <v>2383.333333333333</v>
      </c>
      <c r="AA75" s="46">
        <f>SUM(B75:M75)</f>
        <v>2200</v>
      </c>
      <c r="AB75" s="46">
        <f>SUM(B75:Y75)</f>
        <v>4400.000000000001</v>
      </c>
    </row>
    <row r="76" spans="1:30">
      <c r="A76" s="16" t="s">
        <v>48</v>
      </c>
      <c r="B76" s="46">
        <f>SUM(Calculations!$S$14:$S$16)/12</f>
        <v>616.6666666666666</v>
      </c>
      <c r="C76" s="46">
        <f>SUM(Calculations!$S$14:$S$16)/12</f>
        <v>616.6666666666666</v>
      </c>
      <c r="D76" s="46">
        <f>SUM(Calculations!$S$14:$S$16)/12</f>
        <v>616.6666666666666</v>
      </c>
      <c r="E76" s="46">
        <f>SUM(Calculations!$S$14:$S$16)/12</f>
        <v>616.6666666666666</v>
      </c>
      <c r="F76" s="46">
        <f>SUM(Calculations!$S$14:$S$16)/12</f>
        <v>616.6666666666666</v>
      </c>
      <c r="G76" s="46">
        <f>SUM(Calculations!$S$14:$S$16)/12</f>
        <v>616.6666666666666</v>
      </c>
      <c r="H76" s="46">
        <f>SUM(Calculations!$S$14:$S$16)/12</f>
        <v>616.6666666666666</v>
      </c>
      <c r="I76" s="46">
        <f>SUM(Calculations!$S$14:$S$16)/12</f>
        <v>616.6666666666666</v>
      </c>
      <c r="J76" s="46">
        <f>SUM(Calculations!$S$14:$S$16)/12</f>
        <v>616.6666666666666</v>
      </c>
      <c r="K76" s="46">
        <f>SUM(Calculations!$S$14:$S$16)/12</f>
        <v>616.6666666666666</v>
      </c>
      <c r="L76" s="46">
        <f>SUM(Calculations!$S$14:$S$16)/12</f>
        <v>616.6666666666666</v>
      </c>
      <c r="M76" s="46">
        <f>SUM(Calculations!$S$14:$S$16)/12</f>
        <v>616.6666666666666</v>
      </c>
      <c r="N76" s="46">
        <f>SUM(Calculations!$S$14:$S$16)/12</f>
        <v>616.6666666666666</v>
      </c>
      <c r="O76" s="46">
        <f>SUM(Calculations!$S$14:$S$16)/12</f>
        <v>616.6666666666666</v>
      </c>
      <c r="P76" s="46">
        <f>SUM(Calculations!$S$14:$S$16)/12</f>
        <v>616.6666666666666</v>
      </c>
      <c r="Q76" s="46">
        <f>SUM(Calculations!$S$14:$S$16)/12</f>
        <v>616.6666666666666</v>
      </c>
      <c r="R76" s="46">
        <f>SUM(Calculations!$S$14:$S$16)/12</f>
        <v>616.6666666666666</v>
      </c>
      <c r="S76" s="46">
        <f>SUM(Calculations!$S$14:$S$16)/12</f>
        <v>616.6666666666666</v>
      </c>
      <c r="T76" s="46">
        <f>SUM(Calculations!$S$14:$S$16)/12</f>
        <v>616.6666666666666</v>
      </c>
      <c r="U76" s="46">
        <f>SUM(Calculations!$S$14:$S$16)/12</f>
        <v>616.6666666666666</v>
      </c>
      <c r="V76" s="46">
        <f>SUM(Calculations!$S$14:$S$16)/12</f>
        <v>616.6666666666666</v>
      </c>
      <c r="W76" s="46">
        <f>SUM(Calculations!$S$14:$S$16)/12</f>
        <v>616.6666666666666</v>
      </c>
      <c r="X76" s="46">
        <f>SUM(Calculations!$S$14:$S$16)/12</f>
        <v>616.6666666666666</v>
      </c>
      <c r="Y76" s="46">
        <f>SUM(Calculations!$S$14:$S$16)/12</f>
        <v>616.6666666666666</v>
      </c>
      <c r="Z76" s="46">
        <f>SUMIF($B$13:$Y$13,"Yes",B76:Y76)</f>
        <v>8016.666666666668</v>
      </c>
      <c r="AA76" s="46">
        <f>SUM(B76:M76)</f>
        <v>7400.000000000001</v>
      </c>
      <c r="AB76" s="46">
        <f>SUM(B76:Y76)</f>
        <v>14799.99999999999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40500</v>
      </c>
      <c r="C79" s="46">
        <f>Inputs!$B$31</f>
        <v>40500</v>
      </c>
      <c r="D79" s="46">
        <f>Inputs!$B$31</f>
        <v>40500</v>
      </c>
      <c r="E79" s="46">
        <f>Inputs!$B$31</f>
        <v>40500</v>
      </c>
      <c r="F79" s="46">
        <f>Inputs!$B$31</f>
        <v>40500</v>
      </c>
      <c r="G79" s="46">
        <f>Inputs!$B$31</f>
        <v>40500</v>
      </c>
      <c r="H79" s="46">
        <f>Inputs!$B$31</f>
        <v>40500</v>
      </c>
      <c r="I79" s="46">
        <f>Inputs!$B$31</f>
        <v>40500</v>
      </c>
      <c r="J79" s="46">
        <f>Inputs!$B$31</f>
        <v>40500</v>
      </c>
      <c r="K79" s="46">
        <f>Inputs!$B$31</f>
        <v>40500</v>
      </c>
      <c r="L79" s="46">
        <f>Inputs!$B$31</f>
        <v>40500</v>
      </c>
      <c r="M79" s="46">
        <f>Inputs!$B$31</f>
        <v>40500</v>
      </c>
      <c r="N79" s="46">
        <f>Inputs!$B$31</f>
        <v>40500</v>
      </c>
      <c r="O79" s="46">
        <f>Inputs!$B$31</f>
        <v>40500</v>
      </c>
      <c r="P79" s="46">
        <f>Inputs!$B$31</f>
        <v>40500</v>
      </c>
      <c r="Q79" s="46">
        <f>Inputs!$B$31</f>
        <v>40500</v>
      </c>
      <c r="R79" s="46">
        <f>Inputs!$B$31</f>
        <v>40500</v>
      </c>
      <c r="S79" s="46">
        <f>Inputs!$B$31</f>
        <v>40500</v>
      </c>
      <c r="T79" s="46">
        <f>Inputs!$B$31</f>
        <v>40500</v>
      </c>
      <c r="U79" s="46">
        <f>Inputs!$B$31</f>
        <v>40500</v>
      </c>
      <c r="V79" s="46">
        <f>Inputs!$B$31</f>
        <v>40500</v>
      </c>
      <c r="W79" s="46">
        <f>Inputs!$B$31</f>
        <v>40500</v>
      </c>
      <c r="X79" s="46">
        <f>Inputs!$B$31</f>
        <v>40500</v>
      </c>
      <c r="Y79" s="46">
        <f>Inputs!$B$31</f>
        <v>40500</v>
      </c>
      <c r="Z79" s="46">
        <f>SUMIF($B$13:$Y$13,"Yes",B79:Y79)</f>
        <v>526500</v>
      </c>
      <c r="AA79" s="46">
        <f>SUM(B79:M79)</f>
        <v>486000</v>
      </c>
      <c r="AB79" s="46">
        <f>SUM(B79:Y79)</f>
        <v>972000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70385.6564875784</v>
      </c>
      <c r="C81" s="46">
        <f>(SUM($AA$18:$AA$29)-SUM($AA$36,$AA$42,$AA$48,$AA$54,$AA$60,$AA$66,$AA$72:$AA$79))*Parameters!$B$37/12</f>
        <v>70385.6564875784</v>
      </c>
      <c r="D81" s="46">
        <f>(SUM($AA$18:$AA$29)-SUM($AA$36,$AA$42,$AA$48,$AA$54,$AA$60,$AA$66,$AA$72:$AA$79))*Parameters!$B$37/12</f>
        <v>70385.6564875784</v>
      </c>
      <c r="E81" s="46">
        <f>(SUM($AA$18:$AA$29)-SUM($AA$36,$AA$42,$AA$48,$AA$54,$AA$60,$AA$66,$AA$72:$AA$79))*Parameters!$B$37/12</f>
        <v>70385.6564875784</v>
      </c>
      <c r="F81" s="46">
        <f>(SUM($AA$18:$AA$29)-SUM($AA$36,$AA$42,$AA$48,$AA$54,$AA$60,$AA$66,$AA$72:$AA$79))*Parameters!$B$37/12</f>
        <v>70385.6564875784</v>
      </c>
      <c r="G81" s="46">
        <f>(SUM($AA$18:$AA$29)-SUM($AA$36,$AA$42,$AA$48,$AA$54,$AA$60,$AA$66,$AA$72:$AA$79))*Parameters!$B$37/12</f>
        <v>70385.6564875784</v>
      </c>
      <c r="H81" s="46">
        <f>(SUM($AA$18:$AA$29)-SUM($AA$36,$AA$42,$AA$48,$AA$54,$AA$60,$AA$66,$AA$72:$AA$79))*Parameters!$B$37/12</f>
        <v>70385.6564875784</v>
      </c>
      <c r="I81" s="46">
        <f>(SUM($AA$18:$AA$29)-SUM($AA$36,$AA$42,$AA$48,$AA$54,$AA$60,$AA$66,$AA$72:$AA$79))*Parameters!$B$37/12</f>
        <v>70385.6564875784</v>
      </c>
      <c r="J81" s="46">
        <f>(SUM($AA$18:$AA$29)-SUM($AA$36,$AA$42,$AA$48,$AA$54,$AA$60,$AA$66,$AA$72:$AA$79))*Parameters!$B$37/12</f>
        <v>70385.6564875784</v>
      </c>
      <c r="K81" s="46">
        <f>(SUM($AA$18:$AA$29)-SUM($AA$36,$AA$42,$AA$48,$AA$54,$AA$60,$AA$66,$AA$72:$AA$79))*Parameters!$B$37/12</f>
        <v>70385.6564875784</v>
      </c>
      <c r="L81" s="46">
        <f>(SUM($AA$18:$AA$29)-SUM($AA$36,$AA$42,$AA$48,$AA$54,$AA$60,$AA$66,$AA$72:$AA$79))*Parameters!$B$37/12</f>
        <v>70385.6564875784</v>
      </c>
      <c r="M81" s="46">
        <f>(SUM($AA$18:$AA$29)-SUM($AA$36,$AA$42,$AA$48,$AA$54,$AA$60,$AA$66,$AA$72:$AA$79))*Parameters!$B$37/12</f>
        <v>70385.6564875784</v>
      </c>
      <c r="N81" s="46">
        <f>(SUM($AA$18:$AA$29)-SUM($AA$36,$AA$42,$AA$48,$AA$54,$AA$60,$AA$66,$AA$72:$AA$79))*Parameters!$B$37/12</f>
        <v>70385.6564875784</v>
      </c>
      <c r="O81" s="46">
        <f>(SUM($AA$18:$AA$29)-SUM($AA$36,$AA$42,$AA$48,$AA$54,$AA$60,$AA$66,$AA$72:$AA$79))*Parameters!$B$37/12</f>
        <v>70385.6564875784</v>
      </c>
      <c r="P81" s="46">
        <f>(SUM($AA$18:$AA$29)-SUM($AA$36,$AA$42,$AA$48,$AA$54,$AA$60,$AA$66,$AA$72:$AA$79))*Parameters!$B$37/12</f>
        <v>70385.6564875784</v>
      </c>
      <c r="Q81" s="46">
        <f>(SUM($AA$18:$AA$29)-SUM($AA$36,$AA$42,$AA$48,$AA$54,$AA$60,$AA$66,$AA$72:$AA$79))*Parameters!$B$37/12</f>
        <v>70385.6564875784</v>
      </c>
      <c r="R81" s="46">
        <f>(SUM($AA$18:$AA$29)-SUM($AA$36,$AA$42,$AA$48,$AA$54,$AA$60,$AA$66,$AA$72:$AA$79))*Parameters!$B$37/12</f>
        <v>70385.6564875784</v>
      </c>
      <c r="S81" s="46">
        <f>(SUM($AA$18:$AA$29)-SUM($AA$36,$AA$42,$AA$48,$AA$54,$AA$60,$AA$66,$AA$72:$AA$79))*Parameters!$B$37/12</f>
        <v>70385.6564875784</v>
      </c>
      <c r="T81" s="46">
        <f>(SUM($AA$18:$AA$29)-SUM($AA$36,$AA$42,$AA$48,$AA$54,$AA$60,$AA$66,$AA$72:$AA$79))*Parameters!$B$37/12</f>
        <v>70385.6564875784</v>
      </c>
      <c r="U81" s="46">
        <f>(SUM($AA$18:$AA$29)-SUM($AA$36,$AA$42,$AA$48,$AA$54,$AA$60,$AA$66,$AA$72:$AA$79))*Parameters!$B$37/12</f>
        <v>70385.6564875784</v>
      </c>
      <c r="V81" s="46">
        <f>(SUM($AA$18:$AA$29)-SUM($AA$36,$AA$42,$AA$48,$AA$54,$AA$60,$AA$66,$AA$72:$AA$79))*Parameters!$B$37/12</f>
        <v>70385.6564875784</v>
      </c>
      <c r="W81" s="46">
        <f>(SUM($AA$18:$AA$29)-SUM($AA$36,$AA$42,$AA$48,$AA$54,$AA$60,$AA$66,$AA$72:$AA$79))*Parameters!$B$37/12</f>
        <v>70385.6564875784</v>
      </c>
      <c r="X81" s="46">
        <f>(SUM($AA$18:$AA$29)-SUM($AA$36,$AA$42,$AA$48,$AA$54,$AA$60,$AA$66,$AA$72:$AA$79))*Parameters!$B$37/12</f>
        <v>70385.6564875784</v>
      </c>
      <c r="Y81" s="46">
        <f>(SUM($AA$18:$AA$29)-SUM($AA$36,$AA$42,$AA$48,$AA$54,$AA$60,$AA$66,$AA$72:$AA$79))*Parameters!$B$37/12</f>
        <v>70385.6564875784</v>
      </c>
      <c r="Z81" s="46">
        <f>SUMIF($B$13:$Y$13,"Yes",B81:Y81)</f>
        <v>915013.5343385192</v>
      </c>
      <c r="AA81" s="46">
        <f>SUM(B81:M81)</f>
        <v>844627.8778509408</v>
      </c>
      <c r="AB81" s="46">
        <f>SUM(B81:Y81)</f>
        <v>1689255.755701881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135821.9898209117</v>
      </c>
      <c r="C88" s="19">
        <f>SUM(C72:C82,C66,C60,C54,C48,C42,C36)</f>
        <v>128003.9898209117</v>
      </c>
      <c r="D88" s="19">
        <f>SUM(D72:D82,D66,D60,D54,D48,D42,D36)</f>
        <v>136403.9898209117</v>
      </c>
      <c r="E88" s="19">
        <f>SUM(E72:E82,E66,E60,E54,E48,E42,E36)</f>
        <v>128003.9898209117</v>
      </c>
      <c r="F88" s="19">
        <f>SUM(F72:F82,F66,F60,F54,F48,F42,F36)</f>
        <v>116491.4898209117</v>
      </c>
      <c r="G88" s="19">
        <f>SUM(G72:G82,G66,G60,G54,G48,G42,G36)</f>
        <v>116491.4898209117</v>
      </c>
      <c r="H88" s="19">
        <f>SUM(H72:H82,H66,H60,H54,H48,H42,H36)</f>
        <v>135821.9898209117</v>
      </c>
      <c r="I88" s="19">
        <f>SUM(I72:I82,I66,I60,I54,I48,I42,I36)</f>
        <v>128003.9898209117</v>
      </c>
      <c r="J88" s="19">
        <f>SUM(J72:J82,J66,J60,J54,J48,J42,J36)</f>
        <v>136403.9898209117</v>
      </c>
      <c r="K88" s="19">
        <f>SUM(K72:K82,K66,K60,K54,K48,K42,K36)</f>
        <v>128003.9898209117</v>
      </c>
      <c r="L88" s="19">
        <f>SUM(L72:L82,L66,L60,L54,L48,L42,L36)</f>
        <v>116491.4898209117</v>
      </c>
      <c r="M88" s="19">
        <f>SUM(M72:M82,M66,M60,M54,M48,M42,M36)</f>
        <v>116491.4898209117</v>
      </c>
      <c r="N88" s="19">
        <f>SUM(N72:N82,N66,N60,N54,N48,N42,N36)</f>
        <v>135821.9898209117</v>
      </c>
      <c r="O88" s="19">
        <f>SUM(O72:O82,O66,O60,O54,O48,O42,O36)</f>
        <v>128003.9898209117</v>
      </c>
      <c r="P88" s="19">
        <f>SUM(P72:P82,P66,P60,P54,P48,P42,P36)</f>
        <v>136403.9898209117</v>
      </c>
      <c r="Q88" s="19">
        <f>SUM(Q72:Q82,Q66,Q60,Q54,Q48,Q42,Q36)</f>
        <v>128003.9898209117</v>
      </c>
      <c r="R88" s="19">
        <f>SUM(R72:R82,R66,R60,R54,R48,R42,R36)</f>
        <v>116491.4898209117</v>
      </c>
      <c r="S88" s="19">
        <f>SUM(S72:S82,S66,S60,S54,S48,S42,S36)</f>
        <v>116491.4898209117</v>
      </c>
      <c r="T88" s="19">
        <f>SUM(T72:T82,T66,T60,T54,T48,T42,T36)</f>
        <v>135821.9898209117</v>
      </c>
      <c r="U88" s="19">
        <f>SUM(U72:U82,U66,U60,U54,U48,U42,U36)</f>
        <v>128003.9898209117</v>
      </c>
      <c r="V88" s="19">
        <f>SUM(V72:V82,V66,V60,V54,V48,V42,V36)</f>
        <v>136403.9898209117</v>
      </c>
      <c r="W88" s="19">
        <f>SUM(W72:W82,W66,W60,W54,W48,W42,W36)</f>
        <v>128003.9898209117</v>
      </c>
      <c r="X88" s="19">
        <f>SUM(X72:X82,X66,X60,X54,X48,X42,X36)</f>
        <v>116491.4898209117</v>
      </c>
      <c r="Y88" s="19">
        <f>SUM(Y72:Y82,Y66,Y60,Y54,Y48,Y42,Y36)</f>
        <v>116491.4898209117</v>
      </c>
      <c r="Z88" s="19">
        <f>SUMIF($B$13:$Y$13,"Yes",B88:Y88)</f>
        <v>1658255.867671853</v>
      </c>
      <c r="AA88" s="19">
        <f>SUM(B88:M88)</f>
        <v>1522433.877850941</v>
      </c>
      <c r="AB88" s="19">
        <f>SUM(B88:Y88)</f>
        <v>3044867.755701881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300000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750800</v>
      </c>
    </row>
    <row r="99" spans="1:30">
      <c r="A99" t="s">
        <v>65</v>
      </c>
      <c r="B99" s="36">
        <f>Inputs!B46</f>
        <v>75650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2549950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3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99</v>
      </c>
      <c r="J9" s="148" t="s">
        <v>100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2</v>
      </c>
      <c r="D19" s="145"/>
      <c r="E19" s="20"/>
      <c r="F19" s="145" t="s">
        <v>92</v>
      </c>
      <c r="G19" s="20"/>
      <c r="H19" s="20"/>
      <c r="I19" s="145" t="s">
        <v>115</v>
      </c>
      <c r="J19" s="145"/>
      <c r="K19" s="145"/>
      <c r="L19" s="25"/>
    </row>
    <row r="20" spans="1:48">
      <c r="A20" s="143" t="s">
        <v>116</v>
      </c>
      <c r="B20" s="16"/>
      <c r="C20" s="143">
        <v>1</v>
      </c>
      <c r="D20" s="147">
        <v>1</v>
      </c>
      <c r="E20" s="16"/>
      <c r="F20" s="147" t="s">
        <v>92</v>
      </c>
      <c r="G20" s="16"/>
      <c r="H20" s="16"/>
      <c r="I20" s="147" t="s">
        <v>115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30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125600</v>
      </c>
    </row>
    <row r="31" spans="1:48">
      <c r="A31" s="5" t="s">
        <v>123</v>
      </c>
      <c r="B31" s="158">
        <v>40500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750800</v>
      </c>
    </row>
    <row r="46" spans="1:48" customHeight="1" ht="30">
      <c r="A46" s="57" t="s">
        <v>137</v>
      </c>
      <c r="B46" s="161">
        <v>75650</v>
      </c>
    </row>
    <row r="47" spans="1:48" customHeight="1" ht="30">
      <c r="A47" s="57" t="s">
        <v>138</v>
      </c>
      <c r="B47" s="161">
        <v>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23500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100000</v>
      </c>
      <c r="B56" s="159">
        <v>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100000</v>
      </c>
      <c r="B57" s="157">
        <v>0</v>
      </c>
      <c r="C57" s="164" t="s">
        <v>152</v>
      </c>
      <c r="D57" s="165" t="s">
        <v>150</v>
      </c>
      <c r="E57" s="165" t="s">
        <v>92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154</v>
      </c>
      <c r="C65" s="10" t="s">
        <v>155</v>
      </c>
    </row>
    <row r="66" spans="1:48">
      <c r="A66" s="142" t="s">
        <v>156</v>
      </c>
      <c r="B66" s="159">
        <v>139211</v>
      </c>
      <c r="C66" s="163">
        <v>139248</v>
      </c>
      <c r="D66" s="49">
        <f>INDEX(Parameters!$D$79:$D$90,MATCH(Inputs!A66,Parameters!$C$79:$C$90,0))</f>
        <v>1</v>
      </c>
    </row>
    <row r="67" spans="1:48">
      <c r="A67" s="143" t="s">
        <v>157</v>
      </c>
      <c r="B67" s="157">
        <v>67594</v>
      </c>
      <c r="C67" s="165">
        <v>72263</v>
      </c>
      <c r="D67" s="49">
        <f>INDEX(Parameters!$D$79:$D$90,MATCH(Inputs!A67,Parameters!$C$79:$C$90,0))</f>
        <v>12</v>
      </c>
    </row>
    <row r="68" spans="1:48">
      <c r="A68" s="143" t="s">
        <v>158</v>
      </c>
      <c r="B68" s="157">
        <v>114427</v>
      </c>
      <c r="C68" s="165">
        <v>125439</v>
      </c>
      <c r="D68" s="49">
        <f>INDEX(Parameters!$D$79:$D$90,MATCH(Inputs!A68,Parameters!$C$79:$C$90,0))</f>
        <v>11</v>
      </c>
    </row>
    <row r="69" spans="1:48">
      <c r="A69" s="143" t="s">
        <v>159</v>
      </c>
      <c r="B69" s="157">
        <v>130099</v>
      </c>
      <c r="C69" s="165">
        <v>119278</v>
      </c>
      <c r="D69" s="49">
        <f>INDEX(Parameters!$D$79:$D$90,MATCH(Inputs!A69,Parameters!$C$79:$C$90,0))</f>
        <v>10</v>
      </c>
    </row>
    <row r="70" spans="1:48">
      <c r="A70" s="143" t="s">
        <v>160</v>
      </c>
      <c r="B70" s="157">
        <v>126184</v>
      </c>
      <c r="C70" s="165">
        <v>121187</v>
      </c>
      <c r="D70" s="49">
        <f>INDEX(Parameters!$D$79:$D$90,MATCH(Inputs!A70,Parameters!$C$79:$C$90,0))</f>
        <v>9</v>
      </c>
    </row>
    <row r="71" spans="1:48">
      <c r="A71" s="144" t="s">
        <v>161</v>
      </c>
      <c r="B71" s="158">
        <v>106237</v>
      </c>
      <c r="C71" s="167">
        <v>117004</v>
      </c>
      <c r="D71" s="49">
        <f>INDEX(Parameters!$D$79:$D$90,MATCH(Inputs!A71,Parameters!$C$79:$C$90,0))</f>
        <v>8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18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100000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>
        <v>2</v>
      </c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Mangoes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3500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3835.813921798289</v>
      </c>
      <c r="M4" s="25">
        <f>L4*H4</f>
        <v>3835.813921798289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4.199999999999999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15304.89754797517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5600</v>
      </c>
      <c r="AC4" s="60">
        <f>IF($A4=0,1/12,IFERROR(INDEX(Parameters!$X$2:$AI$17,MATCH(Calculations!$A4,Parameters!$A$2:$A$17,0),MONTH(Calculations!AC$3)),1/12))</f>
        <v>0.2290076335877863</v>
      </c>
      <c r="AD4" s="60">
        <f>IF($A4=0,1/12,IFERROR(INDEX(Parameters!$X$2:$AI$17,MATCH(Calculations!$A4,Parameters!$A$2:$A$17,0),MONTH(Calculations!AD$3)),1/12))</f>
        <v>0.1374045801526718</v>
      </c>
      <c r="AE4" s="60">
        <f>IF($A4=0,1/12,IFERROR(INDEX(Parameters!$X$2:$AI$17,MATCH(Calculations!$A4,Parameters!$A$2:$A$17,0),MONTH(Calculations!AE$3)),1/12))</f>
        <v>0.03816793893129772</v>
      </c>
      <c r="AF4" s="60">
        <f>IF($A4=0,1/12,IFERROR(INDEX(Parameters!$X$2:$AI$17,MATCH(Calculations!$A4,Parameters!$A$2:$A$17,0),MONTH(Calculations!AF$3)),1/12))</f>
        <v>0.007633587786259543</v>
      </c>
      <c r="AG4" s="60">
        <f>IF($A4=0,1/12,IFERROR(INDEX(Parameters!$X$2:$AI$17,MATCH(Calculations!$A4,Parameters!$A$2:$A$17,0),MONTH(Calculations!AG$3)),1/12))</f>
        <v>0.007633587786259543</v>
      </c>
      <c r="AH4" s="60">
        <f>IF($A4=0,1/12,IFERROR(INDEX(Parameters!$X$2:$AI$17,MATCH(Calculations!$A4,Parameters!$A$2:$A$17,0),MONTH(Calculations!AH$3)),1/12))</f>
        <v>0.007633587786259543</v>
      </c>
      <c r="AI4" s="60">
        <f>IF($A4=0,1/12,IFERROR(INDEX(Parameters!$X$2:$AI$17,MATCH(Calculations!$A4,Parameters!$A$2:$A$17,0),MONTH(Calculations!AI$3)),1/12))</f>
        <v>0.007633587786259543</v>
      </c>
      <c r="AJ4" s="60">
        <f>IF($A4=0,1/12,IFERROR(INDEX(Parameters!$X$2:$AI$17,MATCH(Calculations!$A4,Parameters!$A$2:$A$17,0),MONTH(Calculations!AJ$3)),1/12))</f>
        <v>0.03053435114503817</v>
      </c>
      <c r="AK4" s="60">
        <f>IF($A4=0,1/12,IFERROR(INDEX(Parameters!$X$2:$AI$17,MATCH(Calculations!$A4,Parameters!$A$2:$A$17,0),MONTH(Calculations!AK$3)),1/12))</f>
        <v>0.04580152671755726</v>
      </c>
      <c r="AL4" s="60">
        <f>IF($A4=0,1/12,IFERROR(INDEX(Parameters!$X$2:$AI$17,MATCH(Calculations!$A4,Parameters!$A$2:$A$17,0),MONTH(Calculations!AL$3)),1/12))</f>
        <v>0.07633587786259544</v>
      </c>
      <c r="AM4" s="60">
        <f>IF($A4=0,1/12,IFERROR(INDEX(Parameters!$X$2:$AI$17,MATCH(Calculations!$A4,Parameters!$A$2:$A$17,0),MONTH(Calculations!AM$3)),1/12))</f>
        <v>0.183206106870229</v>
      </c>
      <c r="AN4" s="60">
        <f>IF($A4=0,1/12,IFERROR(INDEX(Parameters!$X$2:$AI$17,MATCH(Calculations!$A4,Parameters!$A$2:$A$17,0),MONTH(Calculations!AN$3)),1/12))</f>
        <v>0.2290076335877863</v>
      </c>
      <c r="AO4" s="60">
        <f>IF($A4=0,1/12,IFERROR(INDEX(Parameters!$X$2:$AI$17,MATCH(Calculations!$A4,Parameters!$A$2:$A$17,0),MONTH(Calculations!AO$3)),1/12))</f>
        <v>0.2290076335877863</v>
      </c>
      <c r="AP4" s="60">
        <f>IF($A4=0,1/12,IFERROR(INDEX(Parameters!$X$2:$AI$17,MATCH(Calculations!$A4,Parameters!$A$2:$A$17,0),MONTH(Calculations!AP$3)),1/12))</f>
        <v>0.1374045801526718</v>
      </c>
      <c r="AQ4" s="60">
        <f>IF($A4=0,1/12,IFERROR(INDEX(Parameters!$X$2:$AI$17,MATCH(Calculations!$A4,Parameters!$A$2:$A$17,0),MONTH(Calculations!AQ$3)),1/12))</f>
        <v>0.03816793893129772</v>
      </c>
      <c r="AR4" s="60">
        <f>IF($A4=0,1/12,IFERROR(INDEX(Parameters!$X$2:$AI$17,MATCH(Calculations!$A4,Parameters!$A$2:$A$17,0),MONTH(Calculations!AR$3)),1/12))</f>
        <v>0.007633587786259543</v>
      </c>
      <c r="AS4" s="60">
        <f>IF($A4=0,1/12,IFERROR(INDEX(Parameters!$X$2:$AI$17,MATCH(Calculations!$A4,Parameters!$A$2:$A$17,0),MONTH(Calculations!AS$3)),1/12))</f>
        <v>0.007633587786259543</v>
      </c>
      <c r="AT4" s="60">
        <f>IF($A4=0,1/12,IFERROR(INDEX(Parameters!$X$2:$AI$17,MATCH(Calculations!$A4,Parameters!$A$2:$A$17,0),MONTH(Calculations!AT$3)),1/12))</f>
        <v>0.007633587786259543</v>
      </c>
      <c r="AU4" s="60">
        <f>IF($A4=0,1/12,IFERROR(INDEX(Parameters!$X$2:$AI$17,MATCH(Calculations!$A4,Parameters!$A$2:$A$17,0),MONTH(Calculations!AU$3)),1/12))</f>
        <v>0.007633587786259543</v>
      </c>
      <c r="AV4" s="60">
        <f>IF($A4=0,1/12,IFERROR(INDEX(Parameters!$X$2:$AI$17,MATCH(Calculations!$A4,Parameters!$A$2:$A$17,0),MONTH(Calculations!AV$3)),1/12))</f>
        <v>0.03053435114503817</v>
      </c>
      <c r="AW4" s="60">
        <f>IF($A4=0,1/12,IFERROR(INDEX(Parameters!$X$2:$AI$17,MATCH(Calculations!$A4,Parameters!$A$2:$A$17,0),MONTH(Calculations!AW$3)),1/12))</f>
        <v>0.04580152671755726</v>
      </c>
      <c r="AX4" s="60">
        <f>IF($A4=0,1/12,IFERROR(INDEX(Parameters!$X$2:$AI$17,MATCH(Calculations!$A4,Parameters!$A$2:$A$17,0),MONTH(Calculations!AX$3)),1/12))</f>
        <v>0.07633587786259544</v>
      </c>
      <c r="AY4" s="60">
        <f>IF($A4=0,1/12,IFERROR(INDEX(Parameters!$X$2:$AI$17,MATCH(Calculations!$A4,Parameters!$A$2:$A$17,0),MONTH(Calculations!AY$3)),1/12))</f>
        <v>0.183206106870229</v>
      </c>
      <c r="AZ4" s="60">
        <f>IF($A4=0,1/12,IFERROR(INDEX(Parameters!$X$2:$AI$17,MATCH(Calculations!$A4,Parameters!$A$2:$A$17,0),MONTH(Calculations!AZ$3)),1/12))</f>
        <v>0.2290076335877863</v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7601.228599999999</v>
      </c>
      <c r="M5" s="30">
        <f>L5*H5</f>
        <v>22803.6858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454933.53171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26250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43191</v>
      </c>
      <c r="D6" s="39">
        <f>IFERROR(DATE(YEAR(B6),MONTH(B6)+T6,DAY(B6)),"")</f>
        <v>43221</v>
      </c>
      <c r="E6" s="39">
        <f>IFERROR(IF($S6=0,"",IF($S6=2,DATE(YEAR(B6),MONTH(B6)+6,DAY(B6)),IF($S6=1,B6,""))),"")</f>
        <v>43313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43405</v>
      </c>
      <c r="H6" s="16">
        <f>Inputs!C9</f>
        <v>3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7207.992377007091</v>
      </c>
      <c r="M6" s="30">
        <f>L6*H6</f>
        <v>21623.97713102127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575197.791685166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1818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8400</v>
      </c>
      <c r="Z6" s="34">
        <f>IF(Inputs!I9=Parameters!$F$78,H6*INDEX(Parameters!$A$3:$AI$18,MATCH(Calculations!A6,Parameters!$A$3:$A$18,0),MATCH(Parameters!$Q$3,Parameters!$A$3:$AI$3,0)),0)</f>
        <v>24000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31500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55199.99999999999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1200</v>
      </c>
      <c r="S14" s="63">
        <f>IFERROR(D14*INDEX(Parameters!$A$22:$P$29,MATCH(Calculations!$A14,Parameters!$A$22:$A$29,0),MATCH(Parameters!$N$22,Parameters!$A$22:$P$22,0)),"")</f>
        <v>1400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181539.4736842105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43168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43160</v>
      </c>
      <c r="F33" t="s">
        <v>167</v>
      </c>
      <c r="G33" s="128">
        <f>IF(Inputs!B79="","",DATE(YEAR(Inputs!B79),MONTH(Inputs!B79),DAY(Inputs!B79)))</f>
        <v>43136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43199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43191</v>
      </c>
      <c r="F34" t="s">
        <v>169</v>
      </c>
      <c r="G34" s="128">
        <f>IF(Inputs!B80="","",DATE(YEAR(Inputs!B80),MONTH(Inputs!B80),DAY(Inputs!B80)))</f>
        <v>43168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43229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43221</v>
      </c>
      <c r="F35" t="s">
        <v>171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43260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43252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43290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43282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43321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43313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43352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43344</v>
      </c>
      <c r="F39" t="s">
        <v>177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43382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43374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43413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43405</v>
      </c>
      <c r="F41" t="s">
        <v>235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43443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43435</v>
      </c>
      <c r="F42" t="s">
        <v>236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43474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43505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89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209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114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102</v>
      </c>
      <c r="B41" s="191" t="s">
        <v>318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114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320</v>
      </c>
      <c r="H52" s="12" t="s">
        <v>134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237</v>
      </c>
      <c r="E53" s="10" t="s">
        <v>196</v>
      </c>
      <c r="F53" s="10" t="s">
        <v>256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318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318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318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318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318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318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318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174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233</v>
      </c>
      <c r="J76" s="11" t="s">
        <v>354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318</v>
      </c>
      <c r="F77" s="12" t="s">
        <v>318</v>
      </c>
      <c r="G77" s="12" t="s">
        <v>356</v>
      </c>
      <c r="H77" s="12" t="s">
        <v>134</v>
      </c>
      <c r="I77" s="12" t="s">
        <v>357</v>
      </c>
      <c r="J77" s="136" t="s">
        <v>358</v>
      </c>
      <c r="K77" s="12" t="s">
        <v>318</v>
      </c>
      <c r="AJ77" s="12"/>
    </row>
    <row r="78" spans="1:36">
      <c r="A78" t="s">
        <v>318</v>
      </c>
      <c r="B78" s="176">
        <v>5</v>
      </c>
      <c r="C78" s="134" t="s">
        <v>359</v>
      </c>
      <c r="D78" s="133"/>
      <c r="E78" s="12" t="s">
        <v>96</v>
      </c>
      <c r="F78" s="12" t="s">
        <v>99</v>
      </c>
      <c r="G78" s="12" t="s">
        <v>115</v>
      </c>
      <c r="H78" s="12" t="s">
        <v>321</v>
      </c>
      <c r="I78" s="12" t="s">
        <v>360</v>
      </c>
      <c r="J78" s="70" t="s">
        <v>90</v>
      </c>
      <c r="K78" s="12" t="s">
        <v>318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174</v>
      </c>
      <c r="J79" s="70" t="s">
        <v>98</v>
      </c>
      <c r="K79" s="12" t="s">
        <v>318</v>
      </c>
      <c r="AJ79" s="12"/>
    </row>
    <row r="80" spans="1:36">
      <c r="B80" s="176">
        <v>20</v>
      </c>
      <c r="C80" s="12" t="s">
        <v>100</v>
      </c>
      <c r="D80" s="12">
        <f>D79+1</f>
        <v>2</v>
      </c>
      <c r="E80" s="12" t="s">
        <v>91</v>
      </c>
      <c r="F80" s="12" t="s">
        <v>93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161</v>
      </c>
      <c r="D86" s="12">
        <f>D85+1</f>
        <v>8</v>
      </c>
    </row>
    <row r="87" spans="1:36">
      <c r="B87" s="176">
        <v>89.99999999999999</v>
      </c>
      <c r="C87" s="12" t="s">
        <v>160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