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<sst xmlns="http://schemas.openxmlformats.org/spreadsheetml/2006/main" uniqueCount="374">
  <si>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</si>
  <si>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</si>
  <si>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</si>
  <si>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</si>
  <si>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</si>
  <si>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</si>
  <si>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</si>
  <si>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</si>
  <si>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</si>
  <si>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</si>
  <si>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</si>
  <si>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</si>
  <si>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</si>
  <si>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</si>
  <si>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</si>
  <si>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</si>
  <si>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</si>
  <si>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</si>
  <si>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</si>
  <si>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</si>
  <si>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</si>
  <si>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</si>
  <si>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</si>
  <si>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</si>
  <si>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</si>
  <si>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</si>
  <si>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</si>
  <si>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</si>
  <si>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</si>
  <si>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</si>
  <si>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</si>
  <si>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</si>
  <si>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</si>
  <si>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</si>
  <si>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</si>
  <si>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</si>
  <si>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</si>
  <si>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</si>
  <si>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</si>
  <si>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</si>
  <si>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</si>
  <si>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</si>
  <si>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</si>
  <si>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</si>
  <si>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</si>
  <si>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</si>
  <si>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</si>
  <si>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</si>
  <si>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</si>
  <si>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</si>
  <si>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</si>
  <si>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</si>
  <si>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</si>
  <si>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</si>
  <si>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</si>
  <si>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</si>
  <si>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</si>
  <si>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</si>
  <si>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</si>
  <si>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</si>
  <si>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</si>
  <si>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</si>
  <si>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</si>
  <si>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</si>
  <si>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</si>
  <si>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</si>
  <si>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</si>
  <si>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</si>
  <si>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</si>
  <si>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</si>
  <si>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</si>
  <si>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</si>
  <si>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</si>
  <si>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</si>
  <si>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</si>
  <si>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</si>
  <si>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</si>
  <si>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</si>
  <si>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</si>
  <si>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</si>
  <si>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</si>
  <si>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</si>
  <si>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</si>
  <si>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</si>
  <si>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</si>
  <si>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</si>
  <si>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</si>
  <si>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</si>
  <si>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</si>
  <si>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</si>
  <si>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</si>
  <si>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both manure and inorganic</t>
  </si>
  <si>
    <t>Yes</t>
  </si>
  <si>
    <t>Yes using a diesel pump</t>
  </si>
  <si>
    <t>May</t>
  </si>
  <si>
    <t>Maize</t>
  </si>
  <si>
    <t>April</t>
  </si>
  <si>
    <t>Other crops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</si>
  <si>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</si>
  <si>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</si>
  <si>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</si>
  <si>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</si>
  <si>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</si>
  <si>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</si>
  <si>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</si>
  <si>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</si>
  <si>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</si>
  <si>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</si>
  <si>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</si>
  <si>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</si>
  <si>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</si>
  <si>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</si>
  <si>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</si>
  <si>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</si>
  <si>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</si>
  <si>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</si>
  <si>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</si>
  <si>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</si>
  <si>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</si>
  <si>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</si>
  <si>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</si>
  <si>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</si>
  <si>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</si>
  <si>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</si>
  <si>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</si>
  <si>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</si>
  <si>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</si>
  <si>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</si>
  <si>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</si>
  <si>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</si>
  <si>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</si>
  <si>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</si>
  <si>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</si>
  <si>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</si>
  <si>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</si>
  <si>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</si>
  <si>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</si>
  <si>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</si>
  <si>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</si>
  <si>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</si>
  <si>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</si>
  <si>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</si>
  <si>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</si>
  <si>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</si>
  <si>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2/9/2018</t>
  </si>
  <si>
    <t>NIC</t>
  </si>
  <si>
    <t>Timely repayment</t>
  </si>
  <si>
    <t>9/29/2017</t>
  </si>
  <si>
    <t>CFC</t>
  </si>
  <si>
    <t>8/21/2017</t>
  </si>
  <si>
    <t>Timely Repayment</t>
  </si>
  <si>
    <t>11/23/2016</t>
  </si>
  <si>
    <t>Co-op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</si>
  <si>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</si>
  <si>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</si>
  <si>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</si>
  <si>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</si>
  <si>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</si>
  <si>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</si>
  <si>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</si>
  <si>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</si>
  <si>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</si>
  <si>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</si>
  <si>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</si>
  <si>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2018/2/5</t>
  </si>
  <si>
    <t>Loan terms</t>
  </si>
  <si>
    <t>Expected disbursement date</t>
  </si>
  <si>
    <t>Expected first repayment date</t>
  </si>
  <si>
    <t>2018/3/16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</si>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</sst>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0.007994613469751296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66666.66666666666</v>
      </c>
    </row>
    <row r="17" spans="1:7">
      <c r="B17" s="1" t="s">
        <v>11</v>
      </c>
      <c r="C17" s="36">
        <f>SUM(Output!B6:M6)</f>
        <v>-2139349.619699806</v>
      </c>
    </row>
    <row r="18" spans="1:7">
      <c r="B18" s="1" t="s">
        <v>12</v>
      </c>
      <c r="C18" s="36">
        <f>MIN(Output!B6:M6)</f>
        <v>-1224684.156321214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571910.5460598548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4313750</v>
      </c>
    </row>
    <row r="25" spans="1:7">
      <c r="B25" s="1" t="s">
        <v>18</v>
      </c>
      <c r="C25" s="36">
        <f>MAX(Inputs!A56:A60)</f>
        <v>7000000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-262533.1882980473</v>
      </c>
      <c r="C6" s="51">
        <f>C30-C88</f>
        <v>571910.5460598548</v>
      </c>
      <c r="D6" s="51">
        <f>D30-D88</f>
        <v>-1092.0611042534</v>
      </c>
      <c r="E6" s="51">
        <f>E30-E88</f>
        <v>22727.60059207119</v>
      </c>
      <c r="F6" s="51">
        <f>F30-F88</f>
        <v>-596963.0629271369</v>
      </c>
      <c r="G6" s="51">
        <f>G30-G88</f>
        <v>-572963.0629271369</v>
      </c>
      <c r="H6" s="51">
        <f>H30-H88</f>
        <v>-262533.1882980473</v>
      </c>
      <c r="I6" s="51">
        <f>I30-I88</f>
        <v>571910.5460598548</v>
      </c>
      <c r="J6" s="51">
        <f>J30-J88</f>
        <v>-1092.0611042534</v>
      </c>
      <c r="K6" s="51">
        <f>K30-K88</f>
        <v>22727.60059207119</v>
      </c>
      <c r="L6" s="51">
        <f>L30-L88</f>
        <v>-1224684.156321214</v>
      </c>
      <c r="M6" s="51">
        <f>M30-M88</f>
        <v>-406765.1320235681</v>
      </c>
      <c r="N6" s="51">
        <f>N30-N88</f>
        <v>-92335.25739447842</v>
      </c>
      <c r="O6" s="51">
        <f>O30-O88</f>
        <v>742108.4769634235</v>
      </c>
      <c r="P6" s="51">
        <f>P30-P88</f>
        <v>169105.8697993152</v>
      </c>
      <c r="Q6" s="51">
        <f>Q30-Q88</f>
        <v>192925.5314956398</v>
      </c>
      <c r="R6" s="51">
        <f>R30-R88</f>
        <v>-426765.1320235681</v>
      </c>
      <c r="S6" s="51">
        <f>S30-S88</f>
        <v>-402765.1320235681</v>
      </c>
      <c r="T6" s="51">
        <f>T30-T88</f>
        <v>-92335.25739447842</v>
      </c>
      <c r="U6" s="51">
        <f>U30-U88</f>
        <v>742108.4769634235</v>
      </c>
      <c r="V6" s="51">
        <f>V30-V88</f>
        <v>169105.8697993152</v>
      </c>
      <c r="W6" s="51">
        <f>W30-W88</f>
        <v>192925.5314956398</v>
      </c>
      <c r="X6" s="51">
        <f>X30-X88</f>
        <v>-426765.1320235681</v>
      </c>
      <c r="Y6" s="51">
        <f>Y30-Y88</f>
        <v>-406765.1320235681</v>
      </c>
      <c r="Z6" s="51">
        <f>SUMIF($B$13:$Y$13,"Yes",B6:Y6)</f>
        <v>-1778800.906066278</v>
      </c>
      <c r="AA6" s="51">
        <f>AA30-AA88</f>
        <v>-2139349.619699806</v>
      </c>
      <c r="AB6" s="51">
        <f>AB30-AB88</f>
        <v>-1778800.906066284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504672</v>
      </c>
      <c r="I7" s="80">
        <f>IF(ISERROR(VLOOKUP(MONTH(I5),Inputs!$D$66:$D$71,1,0)),"",INDEX(Inputs!$B$66:$B$71,MATCH(MONTH(Output!I5),Inputs!$D$66:$D$71,0))-INDEX(Inputs!$C$66:$C$71,MATCH(MONTH(Output!I5),Inputs!$D$66:$D$71,0)))</f>
        <v>507666</v>
      </c>
      <c r="J7" s="80">
        <f>IF(ISERROR(VLOOKUP(MONTH(J5),Inputs!$D$66:$D$71,1,0)),"",INDEX(Inputs!$B$66:$B$71,MATCH(MONTH(Output!J5),Inputs!$D$66:$D$71,0))-INDEX(Inputs!$C$66:$C$71,MATCH(MONTH(Output!J5),Inputs!$D$66:$D$71,0)))</f>
        <v>512757</v>
      </c>
      <c r="K7" s="80">
        <f>IF(ISERROR(VLOOKUP(MONTH(K5),Inputs!$D$66:$D$71,1,0)),"",INDEX(Inputs!$B$66:$B$71,MATCH(MONTH(Output!K5),Inputs!$D$66:$D$71,0))-INDEX(Inputs!$C$66:$C$71,MATCH(MONTH(Output!K5),Inputs!$D$66:$D$71,0)))</f>
        <v>518759</v>
      </c>
      <c r="L7" s="80">
        <f>IF(ISERROR(VLOOKUP(MONTH(L5),Inputs!$D$66:$D$71,1,0)),"",INDEX(Inputs!$B$66:$B$71,MATCH(MONTH(Output!L5),Inputs!$D$66:$D$71,0))-INDEX(Inputs!$C$66:$C$71,MATCH(MONTH(Output!L5),Inputs!$D$66:$D$71,0)))</f>
        <v>506663</v>
      </c>
      <c r="M7" s="80">
        <f>IF(ISERROR(VLOOKUP(MONTH(M5),Inputs!$D$66:$D$71,1,0)),"",INDEX(Inputs!$B$66:$B$71,MATCH(MONTH(Output!M5),Inputs!$D$66:$D$71,0))-INDEX(Inputs!$C$66:$C$71,MATCH(MONTH(Output!M5),Inputs!$D$66:$D$71,0)))</f>
        <v>507665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504672</v>
      </c>
      <c r="U7" s="80">
        <f>IF(ISERROR(VLOOKUP(MONTH(U5),Inputs!$D$66:$D$71,1,0)),"",INDEX(Inputs!$B$66:$B$71,MATCH(MONTH(Output!U5),Inputs!$D$66:$D$71,0))-INDEX(Inputs!$C$66:$C$71,MATCH(MONTH(Output!U5),Inputs!$D$66:$D$71,0)))</f>
        <v>507666</v>
      </c>
      <c r="V7" s="80">
        <f>IF(ISERROR(VLOOKUP(MONTH(V5),Inputs!$D$66:$D$71,1,0)),"",INDEX(Inputs!$B$66:$B$71,MATCH(MONTH(Output!V5),Inputs!$D$66:$D$71,0))-INDEX(Inputs!$C$66:$C$71,MATCH(MONTH(Output!V5),Inputs!$D$66:$D$71,0)))</f>
        <v>512757</v>
      </c>
      <c r="W7" s="80">
        <f>IF(ISERROR(VLOOKUP(MONTH(W5),Inputs!$D$66:$D$71,1,0)),"",INDEX(Inputs!$B$66:$B$71,MATCH(MONTH(Output!W5),Inputs!$D$66:$D$71,0))-INDEX(Inputs!$C$66:$C$71,MATCH(MONTH(Output!W5),Inputs!$D$66:$D$71,0)))</f>
        <v>518759</v>
      </c>
      <c r="X7" s="80">
        <f>IF(ISERROR(VLOOKUP(MONTH(X5),Inputs!$D$66:$D$71,1,0)),"",INDEX(Inputs!$B$66:$B$71,MATCH(MONTH(Output!X5),Inputs!$D$66:$D$71,0))-INDEX(Inputs!$C$66:$C$71,MATCH(MONTH(Output!X5),Inputs!$D$66:$D$71,0)))</f>
        <v>506663</v>
      </c>
      <c r="Y7" s="80">
        <f>IF(ISERROR(VLOOKUP(MONTH(Y5),Inputs!$D$66:$D$71,1,0)),"",INDEX(Inputs!$B$66:$B$71,MATCH(MONTH(Output!Y5),Inputs!$D$66:$D$71,0))-INDEX(Inputs!$C$66:$C$71,MATCH(MONTH(Output!Y5),Inputs!$D$66:$D$71,0)))</f>
        <v>507665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66666.66666666666</v>
      </c>
      <c r="D10" s="37">
        <f>SUMPRODUCT((Calculations!$D$33:$D$84=Output!D5)+0,Calculations!$C$33:$C$84)</f>
        <v>66666.66666666666</v>
      </c>
      <c r="E10" s="37">
        <f>SUMPRODUCT((Calculations!$D$33:$D$84=Output!E5)+0,Calculations!$C$33:$C$84)</f>
        <v>66666.66666666666</v>
      </c>
      <c r="F10" s="37">
        <f>SUMPRODUCT((Calculations!$D$33:$D$84=Output!F5)+0,Calculations!$C$33:$C$84)</f>
        <v>66666.66666666666</v>
      </c>
      <c r="G10" s="37">
        <f>SUMPRODUCT((Calculations!$D$33:$D$84=Output!G5)+0,Calculations!$C$33:$C$84)</f>
        <v>66666.66666666666</v>
      </c>
      <c r="H10" s="37">
        <f>SUMPRODUCT((Calculations!$D$33:$D$84=Output!H5)+0,Calculations!$C$33:$C$84)</f>
        <v>66666.66666666666</v>
      </c>
      <c r="I10" s="37">
        <f>SUMPRODUCT((Calculations!$D$33:$D$84=Output!I5)+0,Calculations!$C$33:$C$84)</f>
        <v>66666.66666666666</v>
      </c>
      <c r="J10" s="37">
        <f>SUMPRODUCT((Calculations!$D$33:$D$84=Output!J5)+0,Calculations!$C$33:$C$84)</f>
        <v>66666.66666666666</v>
      </c>
      <c r="K10" s="37">
        <f>SUMPRODUCT((Calculations!$D$33:$D$84=Output!K5)+0,Calculations!$C$33:$C$84)</f>
        <v>66666.66666666666</v>
      </c>
      <c r="L10" s="37">
        <f>SUMPRODUCT((Calculations!$D$33:$D$84=Output!L5)+0,Calculations!$C$33:$C$84)</f>
        <v>66666.66666666666</v>
      </c>
      <c r="M10" s="37">
        <f>SUMPRODUCT((Calculations!$D$33:$D$84=Output!M5)+0,Calculations!$C$33:$C$84)</f>
        <v>66666.66666666666</v>
      </c>
      <c r="N10" s="37">
        <f>SUMPRODUCT((Calculations!$D$33:$D$84=Output!N5)+0,Calculations!$C$33:$C$84)</f>
        <v>66666.66666666666</v>
      </c>
      <c r="O10" s="37">
        <f>SUMPRODUCT((Calculations!$D$33:$D$84=Output!O5)+0,Calculations!$C$33:$C$84)</f>
        <v>66666.66666666666</v>
      </c>
      <c r="P10" s="37">
        <f>SUMPRODUCT((Calculations!$D$33:$D$84=Output!P5)+0,Calculations!$C$33:$C$84)</f>
        <v>66666.66666666666</v>
      </c>
      <c r="Q10" s="37">
        <f>SUMPRODUCT((Calculations!$D$33:$D$84=Output!Q5)+0,Calculations!$C$33:$C$84)</f>
        <v>66666.66666666666</v>
      </c>
      <c r="R10" s="37">
        <f>SUMPRODUCT((Calculations!$D$33:$D$84=Output!R5)+0,Calculations!$C$33:$C$84)</f>
        <v>66666.66666666666</v>
      </c>
      <c r="S10" s="37">
        <f>SUMPRODUCT((Calculations!$D$33:$D$84=Output!S5)+0,Calculations!$C$33:$C$84)</f>
        <v>66666.66666666666</v>
      </c>
      <c r="T10" s="37">
        <f>SUMPRODUCT((Calculations!$D$33:$D$84=Output!T5)+0,Calculations!$C$33:$C$84)</f>
        <v>66666.66666666666</v>
      </c>
      <c r="U10" s="37">
        <f>SUMPRODUCT((Calculations!$D$33:$D$84=Output!U5)+0,Calculations!$C$33:$C$84)</f>
        <v>66666.66666666666</v>
      </c>
      <c r="V10" s="37">
        <f>SUMPRODUCT((Calculations!$D$33:$D$84=Output!V5)+0,Calculations!$C$33:$C$84)</f>
        <v>66666.66666666666</v>
      </c>
      <c r="W10" s="37">
        <f>SUMPRODUCT((Calculations!$D$33:$D$84=Output!W5)+0,Calculations!$C$33:$C$84)</f>
        <v>66666.66666666666</v>
      </c>
      <c r="X10" s="37">
        <f>SUMPRODUCT((Calculations!$D$33:$D$84=Output!X5)+0,Calculations!$C$33:$C$84)</f>
        <v>66666.66666666666</v>
      </c>
      <c r="Y10" s="37">
        <f>SUMPRODUCT((Calculations!$D$33:$D$84=Output!Y5)+0,Calculations!$C$33:$C$84)</f>
        <v>66666.66666666666</v>
      </c>
      <c r="Z10" s="37">
        <f>SUMIF($B$13:$Y$13,"Yes",B10:Y10)</f>
        <v>1533333.333333333</v>
      </c>
      <c r="AA10" s="37">
        <f>SUM(B10:M10)</f>
        <v>733333.333333333</v>
      </c>
      <c r="AB10" s="37">
        <f>SUM(B10:Y10)</f>
        <v>1533333.333333333</v>
      </c>
    </row>
    <row r="11" spans="1:30" customHeight="1" ht="15.75">
      <c r="A11" s="43" t="s">
        <v>31</v>
      </c>
      <c r="B11" s="80">
        <f>B6+B9-B10</f>
        <v>1237466.811701953</v>
      </c>
      <c r="C11" s="80">
        <f>C6+C9-C10</f>
        <v>505243.8793931882</v>
      </c>
      <c r="D11" s="80">
        <f>D6+D9-D10</f>
        <v>-67758.72777092006</v>
      </c>
      <c r="E11" s="80">
        <f>E6+E9-E10</f>
        <v>-43939.06607459547</v>
      </c>
      <c r="F11" s="80">
        <f>F6+F9-F10</f>
        <v>-663629.7295938035</v>
      </c>
      <c r="G11" s="80">
        <f>G6+G9-G10</f>
        <v>-639629.7295938035</v>
      </c>
      <c r="H11" s="80">
        <f>H6+H9-H10</f>
        <v>-329199.8549647139</v>
      </c>
      <c r="I11" s="80">
        <f>I6+I9-I10</f>
        <v>505243.8793931882</v>
      </c>
      <c r="J11" s="80">
        <f>J6+J9-J10</f>
        <v>-67758.72777092006</v>
      </c>
      <c r="K11" s="80">
        <f>K6+K9-K10</f>
        <v>-43939.06607459547</v>
      </c>
      <c r="L11" s="80">
        <f>L6+L9-L10</f>
        <v>-1291350.822987881</v>
      </c>
      <c r="M11" s="80">
        <f>M6+M9-M10</f>
        <v>-473431.7986902348</v>
      </c>
      <c r="N11" s="80">
        <f>N6+N9-N10</f>
        <v>-159001.9240611451</v>
      </c>
      <c r="O11" s="80">
        <f>O6+O9-O10</f>
        <v>675441.8102967569</v>
      </c>
      <c r="P11" s="80">
        <f>P6+P9-P10</f>
        <v>102439.2031326486</v>
      </c>
      <c r="Q11" s="80">
        <f>Q6+Q9-Q10</f>
        <v>126258.8648289732</v>
      </c>
      <c r="R11" s="80">
        <f>R6+R9-R10</f>
        <v>-493431.7986902348</v>
      </c>
      <c r="S11" s="80">
        <f>S6+S9-S10</f>
        <v>-469431.7986902348</v>
      </c>
      <c r="T11" s="80">
        <f>T6+T9-T10</f>
        <v>-159001.9240611451</v>
      </c>
      <c r="U11" s="80">
        <f>U6+U9-U10</f>
        <v>675441.8102967569</v>
      </c>
      <c r="V11" s="80">
        <f>V6+V9-V10</f>
        <v>102439.2031326486</v>
      </c>
      <c r="W11" s="80">
        <f>W6+W9-W10</f>
        <v>126258.8648289732</v>
      </c>
      <c r="X11" s="80">
        <f>X6+X9-X10</f>
        <v>-493431.7986902348</v>
      </c>
      <c r="Y11" s="80">
        <f>Y6+Y9-Y10</f>
        <v>-473431.7986902348</v>
      </c>
      <c r="Z11" s="85">
        <f>SUMIF($B$13:$Y$13,"Yes",B11:Y11)</f>
        <v>-1812134.239399611</v>
      </c>
      <c r="AA11" s="80">
        <f>SUM(B11:M11)</f>
        <v>-1372682.953033139</v>
      </c>
      <c r="AB11" s="46">
        <f>SUM(B11:Y11)</f>
        <v>-1812134.239399611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0.03684508727860564</v>
      </c>
      <c r="D12" s="82">
        <f>IF(D13="Yes",IF(SUM($B$10:D10)/(SUM($B$6:D6)+SUM($B$9:D9))&lt;0,999.99,SUM($B$10:D10)/(SUM($B$6:D6)+SUM($B$9:D9))),"")</f>
        <v>0.07373467758643366</v>
      </c>
      <c r="E12" s="82">
        <f>IF(E13="Yes",IF(SUM($B$10:E10)/(SUM($B$6:E6)+SUM($B$9:E9))&lt;0,999.99,SUM($B$10:E10)/(SUM($B$6:E6)+SUM($B$9:E9))),"")</f>
        <v>0.1092291596091</v>
      </c>
      <c r="F12" s="82">
        <f>IF(F13="Yes",IF(SUM($B$10:F10)/(SUM($B$6:F6)+SUM($B$9:F9))&lt;0,999.99,SUM($B$10:F10)/(SUM($B$6:F6)+SUM($B$9:F9))),"")</f>
        <v>0.2160906790389633</v>
      </c>
      <c r="G12" s="82">
        <f>IF(G13="Yes",IF(SUM($B$10:G10)/(SUM($B$6:G6)+SUM($B$9:G9))&lt;0,999.99,SUM($B$10:G10)/(SUM($B$6:G6)+SUM($B$9:G9))),"")</f>
        <v>0.5042202442347603</v>
      </c>
      <c r="H12" s="82">
        <f>IF(H13="Yes",IF(SUM($B$10:H10)/(SUM($B$6:H6)+SUM($B$9:H9))&lt;0,999.99,SUM($B$10:H10)/(SUM($B$6:H6)+SUM($B$9:H9))),"")</f>
        <v>1.003629165472444</v>
      </c>
      <c r="I12" s="82">
        <f>IF(I13="Yes",IF(SUM($B$10:I10)/(SUM($B$6:I6)+SUM($B$9:I9))&lt;0,999.99,SUM($B$10:I10)/(SUM($B$6:I6)+SUM($B$9:I9))),"")</f>
        <v>0.4808695681230002</v>
      </c>
      <c r="J12" s="82">
        <f>IF(J13="Yes",IF(SUM($B$10:J10)/(SUM($B$6:J6)+SUM($B$9:J9))&lt;0,999.99,SUM($B$10:J10)/(SUM($B$6:J6)+SUM($B$9:J9))),"")</f>
        <v>0.5501843419158899</v>
      </c>
      <c r="K12" s="82">
        <f>IF(K13="Yes",IF(SUM($B$10:K10)/(SUM($B$6:K6)+SUM($B$9:K9))&lt;0,999.99,SUM($B$10:K10)/(SUM($B$6:K6)+SUM($B$9:K9))),"")</f>
        <v>0.6047779461709607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83.14465995884147</v>
      </c>
      <c r="P12" s="82">
        <f>IF(P13="Yes",IF(SUM($B$10:P10)/(SUM($B$6:P6)+SUM($B$9:P9))&lt;0,999.99,SUM($B$10:P10)/(SUM($B$6:P6)+SUM($B$9:P9))),"")</f>
        <v>5.198775081645146</v>
      </c>
      <c r="Q12" s="82">
        <f>IF(Q13="Yes",IF(SUM($B$10:Q10)/(SUM($B$6:Q6)+SUM($B$9:Q9))&lt;0,999.99,SUM($B$10:Q10)/(SUM($B$6:Q6)+SUM($B$9:Q9))),"")</f>
        <v>2.684888098896604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6.573326922876124</v>
      </c>
      <c r="V12" s="82">
        <f>IF(V13="Yes",IF(SUM($B$10:V10)/(SUM($B$6:V6)+SUM($B$9:V9))&lt;0,999.99,SUM($B$10:V10)/(SUM($B$6:V6)+SUM($B$9:V9))),"")</f>
        <v>3.685238341136798</v>
      </c>
      <c r="W12" s="82">
        <f>IF(W13="Yes",IF(SUM($B$10:W10)/(SUM($B$6:W6)+SUM($B$9:W9))&lt;0,999.99,SUM($B$10:W10)/(SUM($B$6:W6)+SUM($B$9:W9))),"")</f>
        <v>2.523753213811893</v>
      </c>
      <c r="X12" s="82">
        <f>IF(X13="Yes",IF(SUM($B$10:X10)/(SUM($B$6:X6)+SUM($B$9:X9))&lt;0,999.99,SUM($B$10:X10)/(SUM($B$6:X6)+SUM($B$9:X9))),"")</f>
        <v>11.46153665756698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829690.6635192081</v>
      </c>
      <c r="E18" s="36">
        <f>Q18</f>
        <v>829690.6635192081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829690.6635192081</v>
      </c>
      <c r="K18" s="36">
        <f>W18</f>
        <v>829690.6635192081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829690.6635192081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829690.6635192081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829690.6635192081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829690.6635192081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6637525.308153666</v>
      </c>
      <c r="AA18" s="36">
        <f>SUM(B18:M18)</f>
        <v>3318762.654076832</v>
      </c>
      <c r="AB18" s="36">
        <f>SUM(B18:Y18)</f>
        <v>6637525.308153666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757794.6741558264</v>
      </c>
      <c r="C19" s="36">
        <f>O19</f>
        <v>909353.6089869917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757794.6741558264</v>
      </c>
      <c r="I19" s="36">
        <f>U19</f>
        <v>909353.6089869917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757794.6741558264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909353.6089869917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757794.6741558264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909353.6089869917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6668593.132571273</v>
      </c>
      <c r="AA19" s="36">
        <f>SUM(B19:M19)</f>
        <v>3334296.566285636</v>
      </c>
      <c r="AB19" s="36">
        <f>SUM(B19:Y19)</f>
        <v>6668593.132571273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500000</v>
      </c>
      <c r="C29" s="37">
        <f>Inputs!$B$30</f>
        <v>500000</v>
      </c>
      <c r="D29" s="37">
        <f>Inputs!$B$30</f>
        <v>500000</v>
      </c>
      <c r="E29" s="37">
        <f>Inputs!$B$30</f>
        <v>500000</v>
      </c>
      <c r="F29" s="37">
        <f>Inputs!$B$30</f>
        <v>500000</v>
      </c>
      <c r="G29" s="37">
        <f>Inputs!$B$30</f>
        <v>500000</v>
      </c>
      <c r="H29" s="37">
        <f>Inputs!$B$30</f>
        <v>500000</v>
      </c>
      <c r="I29" s="37">
        <f>Inputs!$B$30</f>
        <v>500000</v>
      </c>
      <c r="J29" s="37">
        <f>Inputs!$B$30</f>
        <v>500000</v>
      </c>
      <c r="K29" s="37">
        <f>Inputs!$B$30</f>
        <v>500000</v>
      </c>
      <c r="L29" s="37">
        <f>Inputs!$B$30</f>
        <v>500000</v>
      </c>
      <c r="M29" s="37">
        <f>Inputs!$B$30</f>
        <v>500000</v>
      </c>
      <c r="N29" s="37">
        <f>Inputs!$B$30</f>
        <v>500000</v>
      </c>
      <c r="O29" s="37">
        <f>Inputs!$B$30</f>
        <v>500000</v>
      </c>
      <c r="P29" s="37">
        <f>Inputs!$B$30</f>
        <v>500000</v>
      </c>
      <c r="Q29" s="37">
        <f>Inputs!$B$30</f>
        <v>500000</v>
      </c>
      <c r="R29" s="37">
        <f>Inputs!$B$30</f>
        <v>500000</v>
      </c>
      <c r="S29" s="37">
        <f>Inputs!$B$30</f>
        <v>500000</v>
      </c>
      <c r="T29" s="37">
        <f>Inputs!$B$30</f>
        <v>500000</v>
      </c>
      <c r="U29" s="37">
        <f>Inputs!$B$30</f>
        <v>500000</v>
      </c>
      <c r="V29" s="37">
        <f>Inputs!$B$30</f>
        <v>500000</v>
      </c>
      <c r="W29" s="37">
        <f>Inputs!$B$30</f>
        <v>500000</v>
      </c>
      <c r="X29" s="37">
        <f>Inputs!$B$30</f>
        <v>500000</v>
      </c>
      <c r="Y29" s="37">
        <f>Inputs!$B$30</f>
        <v>500000</v>
      </c>
      <c r="Z29" s="37">
        <f>SUMIF($B$13:$Y$13,"Yes",B29:Y29)</f>
        <v>12000000</v>
      </c>
      <c r="AA29" s="37">
        <f>SUM(B29:M29)</f>
        <v>6000000</v>
      </c>
      <c r="AB29" s="37">
        <f>SUM(B29:Y29)</f>
        <v>12000000</v>
      </c>
    </row>
    <row r="30" spans="1:30" customHeight="1" ht="15.75">
      <c r="A30" s="1" t="s">
        <v>37</v>
      </c>
      <c r="B30" s="19">
        <f>SUM(B18:B29)</f>
        <v>1257794.674155826</v>
      </c>
      <c r="C30" s="19">
        <f>SUM(C18:C29)</f>
        <v>1409353.608986992</v>
      </c>
      <c r="D30" s="19">
        <f>SUM(D18:D29)</f>
        <v>1329690.663519208</v>
      </c>
      <c r="E30" s="19">
        <f>SUM(E18:E29)</f>
        <v>1329690.663519208</v>
      </c>
      <c r="F30" s="19">
        <f>SUM(F18:F29)</f>
        <v>500000</v>
      </c>
      <c r="G30" s="19">
        <f>SUM(G18:G29)</f>
        <v>500000</v>
      </c>
      <c r="H30" s="19">
        <f>SUM(H18:H29)</f>
        <v>1257794.674155826</v>
      </c>
      <c r="I30" s="19">
        <f>SUM(I18:I29)</f>
        <v>1409353.608986992</v>
      </c>
      <c r="J30" s="19">
        <f>SUM(J18:J29)</f>
        <v>1329690.663519208</v>
      </c>
      <c r="K30" s="19">
        <f>SUM(K18:K29)</f>
        <v>1329690.663519208</v>
      </c>
      <c r="L30" s="19">
        <f>SUM(L18:L29)</f>
        <v>500000</v>
      </c>
      <c r="M30" s="19">
        <f>SUM(M18:M29)</f>
        <v>500000</v>
      </c>
      <c r="N30" s="19">
        <f>SUM(N18:N29)</f>
        <v>1257794.674155826</v>
      </c>
      <c r="O30" s="19">
        <f>SUM(O18:O29)</f>
        <v>1409353.608986992</v>
      </c>
      <c r="P30" s="19">
        <f>SUM(P18:P29)</f>
        <v>1329690.663519208</v>
      </c>
      <c r="Q30" s="19">
        <f>SUM(Q18:Q29)</f>
        <v>1329690.663519208</v>
      </c>
      <c r="R30" s="19">
        <f>SUM(R18:R29)</f>
        <v>500000</v>
      </c>
      <c r="S30" s="19">
        <f>SUM(S18:S29)</f>
        <v>500000</v>
      </c>
      <c r="T30" s="19">
        <f>SUM(T18:T29)</f>
        <v>1257794.674155826</v>
      </c>
      <c r="U30" s="19">
        <f>SUM(U18:U29)</f>
        <v>1409353.608986992</v>
      </c>
      <c r="V30" s="19">
        <f>SUM(V18:V29)</f>
        <v>1329690.663519208</v>
      </c>
      <c r="W30" s="19">
        <f>SUM(W18:W29)</f>
        <v>1329690.663519208</v>
      </c>
      <c r="X30" s="19">
        <f>SUM(X18:X29)</f>
        <v>500000</v>
      </c>
      <c r="Y30" s="19">
        <f>SUM(Y18:Y29)</f>
        <v>500000</v>
      </c>
      <c r="Z30" s="19">
        <f>SUMIF($B$13:$Y$13,"Yes",B30:Y30)</f>
        <v>25306118.44072494</v>
      </c>
      <c r="AA30" s="19">
        <f>SUM(B30:M30)</f>
        <v>12653059.22036247</v>
      </c>
      <c r="AB30" s="19">
        <f>SUM(B30:Y30)</f>
        <v>25306118.44072494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160000</v>
      </c>
      <c r="E36" s="36">
        <f>Q36</f>
        <v>80000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160000</v>
      </c>
      <c r="K36" s="36">
        <f>W36</f>
        <v>80000</v>
      </c>
      <c r="L36" s="36">
        <f>X36</f>
        <v>0</v>
      </c>
      <c r="M36" s="36">
        <f>Y36</f>
        <v>4000</v>
      </c>
      <c r="N36" s="36">
        <f>SUM(N37:N41)</f>
        <v>0</v>
      </c>
      <c r="O36" s="36">
        <f>SUM(O37:O41)</f>
        <v>0</v>
      </c>
      <c r="P36" s="36">
        <f>SUM(P37:P41)</f>
        <v>160000</v>
      </c>
      <c r="Q36" s="36">
        <f>SUM(Q37:Q41)</f>
        <v>80000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160000</v>
      </c>
      <c r="W36" s="36">
        <f>SUM(W37:W41)</f>
        <v>80000</v>
      </c>
      <c r="X36" s="36">
        <f>SUM(X37:X41)</f>
        <v>0</v>
      </c>
      <c r="Y36" s="36">
        <f>SUM(Y37:Y41)</f>
        <v>4000</v>
      </c>
      <c r="Z36" s="36">
        <f>SUMIF($B$13:$Y$13,"Yes",B36:Y36)</f>
        <v>968000</v>
      </c>
      <c r="AA36" s="36">
        <f>SUM(B36:M36)</f>
        <v>484000</v>
      </c>
      <c r="AB36" s="36">
        <f>SUM(B36:Y36)</f>
        <v>968000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80000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80000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80000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80000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320000</v>
      </c>
      <c r="AA37" s="36">
        <f>SUM(B37:M37)</f>
        <v>160000</v>
      </c>
      <c r="AB37" s="36">
        <f>SUM(B37:Y37)</f>
        <v>320000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160000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160000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160000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160000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640000</v>
      </c>
      <c r="AA38" s="36">
        <f>SUM(B38:M38)</f>
        <v>320000</v>
      </c>
      <c r="AB38" s="36">
        <f>SUM(B38:Y38)</f>
        <v>640000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4000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4000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24240</v>
      </c>
      <c r="E42" s="36">
        <f>Q42</f>
        <v>154000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24240</v>
      </c>
      <c r="K42" s="36">
        <f>W42</f>
        <v>154000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24240</v>
      </c>
      <c r="Q42" s="36">
        <f>SUM(Q43:Q47)</f>
        <v>154000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24240</v>
      </c>
      <c r="W42" s="36">
        <f>SUM(W43:W47)</f>
        <v>154000</v>
      </c>
      <c r="X42" s="36">
        <f>SUM(X43:X47)</f>
        <v>0</v>
      </c>
      <c r="Y42" s="36">
        <f>SUM(Y43:Y47)</f>
        <v>0</v>
      </c>
      <c r="Z42" s="36">
        <f>SUMIF($B$13:$Y$13,"Yes",B42:Y42)</f>
        <v>712960</v>
      </c>
      <c r="AA42" s="36">
        <f>SUM(B42:M42)</f>
        <v>356480</v>
      </c>
      <c r="AB42" s="36">
        <f>SUM(B42:Y42)</f>
        <v>712960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154000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154000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154000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154000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616000</v>
      </c>
      <c r="AA43" s="36">
        <f>SUM(B43:M43)</f>
        <v>308000</v>
      </c>
      <c r="AB43" s="36">
        <f>SUM(B43:Y43)</f>
        <v>616000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24240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24240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24240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24240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96960.00000000001</v>
      </c>
      <c r="AA44" s="36">
        <f>SUM(B44:M44)</f>
        <v>48480.00000000001</v>
      </c>
      <c r="AB44" s="36">
        <f>SUM(B44:Y44)</f>
        <v>96960.00000000001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360000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24000</v>
      </c>
      <c r="G48" s="36">
        <f>S48</f>
        <v>0</v>
      </c>
      <c r="H48" s="36">
        <f>T48</f>
        <v>360000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24000</v>
      </c>
      <c r="M48" s="36">
        <f>Y48</f>
        <v>0</v>
      </c>
      <c r="N48" s="46">
        <f>SUM(N49:N53)</f>
        <v>360000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24000</v>
      </c>
      <c r="S48" s="46">
        <f>SUM(S49:S53)</f>
        <v>0</v>
      </c>
      <c r="T48" s="46">
        <f>SUM(T49:T53)</f>
        <v>360000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24000</v>
      </c>
      <c r="Y48" s="46">
        <f>SUM(Y49:Y53)</f>
        <v>0</v>
      </c>
      <c r="Z48" s="46">
        <f>SUMIF($B$13:$Y$13,"Yes",B48:Y48)</f>
        <v>1536000</v>
      </c>
      <c r="AA48" s="46">
        <f>SUM(B48:M48)</f>
        <v>768000</v>
      </c>
      <c r="AB48" s="46">
        <f>SUM(B48:Y48)</f>
        <v>1536000</v>
      </c>
    </row>
    <row r="49" spans="1:30" hidden="true" outlineLevel="1">
      <c r="A49" s="181" t="str">
        <f>Calculations!$A$4</f>
        <v>Wheat</v>
      </c>
      <c r="B49" s="36">
        <f>N49</f>
        <v>360000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360000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360000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360000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1440000</v>
      </c>
      <c r="AA49" s="46">
        <f>SUM(B49:M49)</f>
        <v>720000</v>
      </c>
      <c r="AB49" s="46">
        <f>SUM(B49:Y49)</f>
        <v>1440000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24000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24000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24000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24000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96000</v>
      </c>
      <c r="AA50" s="46">
        <f>SUM(B50:M50)</f>
        <v>48000</v>
      </c>
      <c r="AB50" s="46">
        <f>SUM(B50:Y50)</f>
        <v>96000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87364.79952673688</v>
      </c>
      <c r="C54" s="36">
        <f>O54</f>
        <v>0</v>
      </c>
      <c r="D54" s="36">
        <f>P54</f>
        <v>73579.66169632461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87364.79952673688</v>
      </c>
      <c r="I54" s="36">
        <f>U54</f>
        <v>0</v>
      </c>
      <c r="J54" s="36">
        <f>V54</f>
        <v>73579.66169632461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87364.79952673688</v>
      </c>
      <c r="O54" s="46">
        <f>SUM(O55:O59)</f>
        <v>0</v>
      </c>
      <c r="P54" s="46">
        <f>SUM(P55:P59)</f>
        <v>73579.66169632461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87364.79952673688</v>
      </c>
      <c r="U54" s="46">
        <f>SUM(U55:U59)</f>
        <v>0</v>
      </c>
      <c r="V54" s="46">
        <f>SUM(V55:V59)</f>
        <v>73579.66169632461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643777.844892246</v>
      </c>
      <c r="AA54" s="46">
        <f>SUM(B54:M54)</f>
        <v>321888.922446123</v>
      </c>
      <c r="AB54" s="46">
        <f>SUM(B54:Y54)</f>
        <v>643777.844892246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73579.66169632461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73579.66169632461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73579.66169632461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73579.66169632461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294318.6467852984</v>
      </c>
      <c r="AA55" s="46">
        <f>SUM(B55:M55)</f>
        <v>147159.3233926492</v>
      </c>
      <c r="AB55" s="46">
        <f>SUM(B55:Y55)</f>
        <v>294318.6467852984</v>
      </c>
    </row>
    <row r="56" spans="1:30" hidden="true" outlineLevel="1">
      <c r="A56" s="181" t="str">
        <f>Calculations!$A$5</f>
        <v>Maize</v>
      </c>
      <c r="B56" s="36">
        <f>N56</f>
        <v>87364.79952673688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87364.79952673688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87364.79952673688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87364.79952673688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349459.1981069475</v>
      </c>
      <c r="AA56" s="46">
        <f>SUM(B56:M56)</f>
        <v>174729.5990534738</v>
      </c>
      <c r="AB56" s="46">
        <f>SUM(B56:Y56)</f>
        <v>349459.1981069475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113333.3333333333</v>
      </c>
      <c r="C60" s="36">
        <f>O60</f>
        <v>33333.33333333334</v>
      </c>
      <c r="D60" s="36">
        <f>P60</f>
        <v>113333.3333333333</v>
      </c>
      <c r="E60" s="36">
        <f>Q60</f>
        <v>113333.3333333333</v>
      </c>
      <c r="F60" s="36">
        <f>R60</f>
        <v>113333.3333333333</v>
      </c>
      <c r="G60" s="36">
        <f>S60</f>
        <v>113333.3333333333</v>
      </c>
      <c r="H60" s="36">
        <f>T60</f>
        <v>113333.3333333333</v>
      </c>
      <c r="I60" s="36">
        <f>U60</f>
        <v>33333.33333333334</v>
      </c>
      <c r="J60" s="36">
        <f>V60</f>
        <v>113333.3333333333</v>
      </c>
      <c r="K60" s="36">
        <f>W60</f>
        <v>113333.3333333333</v>
      </c>
      <c r="L60" s="36">
        <f>X60</f>
        <v>113333.3333333333</v>
      </c>
      <c r="M60" s="36">
        <f>Y60</f>
        <v>113333.3333333333</v>
      </c>
      <c r="N60" s="46">
        <f>SUM(N61:N65)</f>
        <v>113333.3333333333</v>
      </c>
      <c r="O60" s="46">
        <f>SUM(O61:O65)</f>
        <v>33333.33333333334</v>
      </c>
      <c r="P60" s="46">
        <f>SUM(P61:P65)</f>
        <v>113333.3333333333</v>
      </c>
      <c r="Q60" s="46">
        <f>SUM(Q61:Q65)</f>
        <v>113333.3333333333</v>
      </c>
      <c r="R60" s="46">
        <f>SUM(R61:R65)</f>
        <v>113333.3333333333</v>
      </c>
      <c r="S60" s="46">
        <f>SUM(S61:S65)</f>
        <v>113333.3333333333</v>
      </c>
      <c r="T60" s="46">
        <f>SUM(T61:T65)</f>
        <v>113333.3333333333</v>
      </c>
      <c r="U60" s="46">
        <f>SUM(U61:U65)</f>
        <v>33333.33333333334</v>
      </c>
      <c r="V60" s="46">
        <f>SUM(V61:V65)</f>
        <v>113333.3333333333</v>
      </c>
      <c r="W60" s="46">
        <f>SUM(W61:W65)</f>
        <v>113333.3333333333</v>
      </c>
      <c r="X60" s="46">
        <f>SUM(X61:X65)</f>
        <v>113333.3333333333</v>
      </c>
      <c r="Y60" s="46">
        <f>SUM(Y61:Y65)</f>
        <v>113333.3333333333</v>
      </c>
      <c r="Z60" s="46">
        <f>SUMIF($B$13:$Y$13,"Yes",B60:Y60)</f>
        <v>2400000</v>
      </c>
      <c r="AA60" s="46">
        <f>SUM(B60:M60)</f>
        <v>1200000</v>
      </c>
      <c r="AB60" s="46">
        <f>SUM(B60:Y60)</f>
        <v>2400000</v>
      </c>
    </row>
    <row r="61" spans="1:30" hidden="true" outlineLevel="1">
      <c r="A61" s="181" t="str">
        <f>Calculations!$A$4</f>
        <v>Wheat</v>
      </c>
      <c r="B61" s="36">
        <f>N61</f>
        <v>33333.33333333334</v>
      </c>
      <c r="C61" s="36">
        <f>O61</f>
        <v>33333.33333333334</v>
      </c>
      <c r="D61" s="36">
        <f>P61</f>
        <v>33333.33333333334</v>
      </c>
      <c r="E61" s="36">
        <f>Q61</f>
        <v>33333.33333333334</v>
      </c>
      <c r="F61" s="36">
        <f>R61</f>
        <v>33333.33333333334</v>
      </c>
      <c r="G61" s="36">
        <f>S61</f>
        <v>33333.33333333334</v>
      </c>
      <c r="H61" s="36">
        <f>T61</f>
        <v>33333.33333333334</v>
      </c>
      <c r="I61" s="36">
        <f>U61</f>
        <v>33333.33333333334</v>
      </c>
      <c r="J61" s="36">
        <f>V61</f>
        <v>33333.33333333334</v>
      </c>
      <c r="K61" s="36">
        <f>W61</f>
        <v>33333.33333333334</v>
      </c>
      <c r="L61" s="36">
        <f>X61</f>
        <v>33333.33333333334</v>
      </c>
      <c r="M61" s="36">
        <f>Y61</f>
        <v>33333.33333333334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33333.33333333334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33333.33333333334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33333.33333333334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33333.33333333334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33333.33333333334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33333.33333333334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33333.33333333334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33333.33333333334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33333.33333333334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33333.33333333334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33333.33333333334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33333.33333333334</v>
      </c>
      <c r="Z61" s="46">
        <f>SUMIF($B$13:$Y$13,"Yes",B61:Y61)</f>
        <v>800000.0000000002</v>
      </c>
      <c r="AA61" s="46">
        <f>SUM(B61:M61)</f>
        <v>399999.9999999999</v>
      </c>
      <c r="AB61" s="46">
        <f>SUM(B61:Y61)</f>
        <v>800000.0000000002</v>
      </c>
    </row>
    <row r="62" spans="1:30" hidden="true" outlineLevel="1">
      <c r="A62" s="181" t="str">
        <f>Calculations!$A$5</f>
        <v>Maize</v>
      </c>
      <c r="B62" s="36">
        <f>N62</f>
        <v>80000</v>
      </c>
      <c r="C62" s="36">
        <f>O62</f>
        <v>0</v>
      </c>
      <c r="D62" s="36">
        <f>P62</f>
        <v>80000</v>
      </c>
      <c r="E62" s="36">
        <f>Q62</f>
        <v>80000</v>
      </c>
      <c r="F62" s="36">
        <f>R62</f>
        <v>80000</v>
      </c>
      <c r="G62" s="36">
        <f>S62</f>
        <v>80000</v>
      </c>
      <c r="H62" s="36">
        <f>T62</f>
        <v>80000</v>
      </c>
      <c r="I62" s="36">
        <f>U62</f>
        <v>0</v>
      </c>
      <c r="J62" s="36">
        <f>V62</f>
        <v>80000</v>
      </c>
      <c r="K62" s="36">
        <f>W62</f>
        <v>80000</v>
      </c>
      <c r="L62" s="36">
        <f>X62</f>
        <v>80000</v>
      </c>
      <c r="M62" s="36">
        <f>Y62</f>
        <v>80000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80000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80000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80000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80000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80000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80000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80000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80000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80000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80000</v>
      </c>
      <c r="Z62" s="46">
        <f>SUMIF($B$13:$Y$13,"Yes",B62:Y62)</f>
        <v>1600000</v>
      </c>
      <c r="AA62" s="46">
        <f>SUM(B62:M62)</f>
        <v>800000</v>
      </c>
      <c r="AB62" s="46">
        <f>SUM(B62:Y62)</f>
        <v>1600000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236520</v>
      </c>
      <c r="C66" s="36">
        <f>O66</f>
        <v>81000</v>
      </c>
      <c r="D66" s="36">
        <f>P66</f>
        <v>236520</v>
      </c>
      <c r="E66" s="36">
        <f>Q66</f>
        <v>236520</v>
      </c>
      <c r="F66" s="36">
        <f>R66</f>
        <v>236520</v>
      </c>
      <c r="G66" s="36">
        <f>S66</f>
        <v>236520</v>
      </c>
      <c r="H66" s="36">
        <f>T66</f>
        <v>236520</v>
      </c>
      <c r="I66" s="36">
        <f>U66</f>
        <v>81000</v>
      </c>
      <c r="J66" s="36">
        <f>V66</f>
        <v>236520</v>
      </c>
      <c r="K66" s="36">
        <f>W66</f>
        <v>236520</v>
      </c>
      <c r="L66" s="36">
        <f>X66</f>
        <v>236520</v>
      </c>
      <c r="M66" s="36">
        <f>Y66</f>
        <v>236520</v>
      </c>
      <c r="N66" s="46">
        <f>SUM(N67:N71)</f>
        <v>236520</v>
      </c>
      <c r="O66" s="46">
        <f>SUM(O67:O71)</f>
        <v>81000</v>
      </c>
      <c r="P66" s="46">
        <f>SUM(P67:P71)</f>
        <v>236520</v>
      </c>
      <c r="Q66" s="46">
        <f>SUM(Q67:Q71)</f>
        <v>236520</v>
      </c>
      <c r="R66" s="46">
        <f>SUM(R67:R71)</f>
        <v>236520</v>
      </c>
      <c r="S66" s="46">
        <f>SUM(S67:S71)</f>
        <v>236520</v>
      </c>
      <c r="T66" s="46">
        <f>SUM(T67:T71)</f>
        <v>236520</v>
      </c>
      <c r="U66" s="46">
        <f>SUM(U67:U71)</f>
        <v>81000</v>
      </c>
      <c r="V66" s="46">
        <f>SUM(V67:V71)</f>
        <v>236520</v>
      </c>
      <c r="W66" s="46">
        <f>SUM(W67:W71)</f>
        <v>236520</v>
      </c>
      <c r="X66" s="46">
        <f>SUM(X67:X71)</f>
        <v>236520</v>
      </c>
      <c r="Y66" s="46">
        <f>SUM(Y67:Y71)</f>
        <v>236520</v>
      </c>
      <c r="Z66" s="46">
        <f>SUMIF($B$13:$Y$13,"Yes",B66:Y66)</f>
        <v>5054400</v>
      </c>
      <c r="AA66" s="46">
        <f>SUM(B66:M66)</f>
        <v>2527200</v>
      </c>
      <c r="AB66" s="46">
        <f>SUM(B66:Y66)</f>
        <v>5054400</v>
      </c>
    </row>
    <row r="67" spans="1:30" hidden="true" outlineLevel="1">
      <c r="A67" s="181" t="str">
        <f>Calculations!$A$4</f>
        <v>Wheat</v>
      </c>
      <c r="B67" s="36">
        <f>N67</f>
        <v>81000</v>
      </c>
      <c r="C67" s="36">
        <f>O67</f>
        <v>81000</v>
      </c>
      <c r="D67" s="36">
        <f>P67</f>
        <v>81000</v>
      </c>
      <c r="E67" s="36">
        <f>Q67</f>
        <v>81000</v>
      </c>
      <c r="F67" s="36">
        <f>R67</f>
        <v>81000</v>
      </c>
      <c r="G67" s="36">
        <f>S67</f>
        <v>81000</v>
      </c>
      <c r="H67" s="36">
        <f>T67</f>
        <v>81000</v>
      </c>
      <c r="I67" s="36">
        <f>U67</f>
        <v>81000</v>
      </c>
      <c r="J67" s="36">
        <f>V67</f>
        <v>81000</v>
      </c>
      <c r="K67" s="36">
        <f>W67</f>
        <v>81000</v>
      </c>
      <c r="L67" s="36">
        <f>X67</f>
        <v>81000</v>
      </c>
      <c r="M67" s="36">
        <f>Y67</f>
        <v>81000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81000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81000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81000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81000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81000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81000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81000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81000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81000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81000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81000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81000</v>
      </c>
      <c r="Z67" s="46">
        <f>SUMIF($B$13:$Y$13,"Yes",B67:Y67)</f>
        <v>1944000</v>
      </c>
      <c r="AA67" s="46">
        <f>SUM(B67:M67)</f>
        <v>972000</v>
      </c>
      <c r="AB67" s="46">
        <f>SUM(B67:Y67)</f>
        <v>1944000</v>
      </c>
    </row>
    <row r="68" spans="1:30" hidden="true" outlineLevel="1">
      <c r="A68" s="181" t="str">
        <f>Calculations!$A$5</f>
        <v>Maize</v>
      </c>
      <c r="B68" s="36">
        <f>N68</f>
        <v>155520</v>
      </c>
      <c r="C68" s="36">
        <f>O68</f>
        <v>0</v>
      </c>
      <c r="D68" s="36">
        <f>P68</f>
        <v>155520</v>
      </c>
      <c r="E68" s="36">
        <f>Q68</f>
        <v>155520</v>
      </c>
      <c r="F68" s="36">
        <f>R68</f>
        <v>155520</v>
      </c>
      <c r="G68" s="36">
        <f>S68</f>
        <v>155520</v>
      </c>
      <c r="H68" s="36">
        <f>T68</f>
        <v>155520</v>
      </c>
      <c r="I68" s="36">
        <f>U68</f>
        <v>0</v>
      </c>
      <c r="J68" s="36">
        <f>V68</f>
        <v>155520</v>
      </c>
      <c r="K68" s="36">
        <f>W68</f>
        <v>155520</v>
      </c>
      <c r="L68" s="36">
        <f>X68</f>
        <v>155520</v>
      </c>
      <c r="M68" s="36">
        <f>Y68</f>
        <v>155520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155520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155520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155520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155520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155520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155520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155520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155520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155520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155520</v>
      </c>
      <c r="Z68" s="46">
        <f>SUMIF($B$13:$Y$13,"Yes",B68:Y68)</f>
        <v>3110400</v>
      </c>
      <c r="AA68" s="46">
        <f>SUM(B68:M68)</f>
        <v>1555200</v>
      </c>
      <c r="AB68" s="46">
        <f>SUM(B68:Y68)</f>
        <v>3110400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120000</v>
      </c>
      <c r="C79" s="46">
        <f>Inputs!$B$31</f>
        <v>120000</v>
      </c>
      <c r="D79" s="46">
        <f>Inputs!$B$31</f>
        <v>120000</v>
      </c>
      <c r="E79" s="46">
        <f>Inputs!$B$31</f>
        <v>120000</v>
      </c>
      <c r="F79" s="46">
        <f>Inputs!$B$31</f>
        <v>120000</v>
      </c>
      <c r="G79" s="46">
        <f>Inputs!$B$31</f>
        <v>120000</v>
      </c>
      <c r="H79" s="46">
        <f>Inputs!$B$31</f>
        <v>120000</v>
      </c>
      <c r="I79" s="46">
        <f>Inputs!$B$31</f>
        <v>120000</v>
      </c>
      <c r="J79" s="46">
        <f>Inputs!$B$31</f>
        <v>120000</v>
      </c>
      <c r="K79" s="46">
        <f>Inputs!$B$31</f>
        <v>120000</v>
      </c>
      <c r="L79" s="46">
        <f>Inputs!$B$31</f>
        <v>120000</v>
      </c>
      <c r="M79" s="46">
        <f>Inputs!$B$31</f>
        <v>120000</v>
      </c>
      <c r="N79" s="46">
        <f>Inputs!$B$31</f>
        <v>120000</v>
      </c>
      <c r="O79" s="46">
        <f>Inputs!$B$31</f>
        <v>120000</v>
      </c>
      <c r="P79" s="46">
        <f>Inputs!$B$31</f>
        <v>120000</v>
      </c>
      <c r="Q79" s="46">
        <f>Inputs!$B$31</f>
        <v>120000</v>
      </c>
      <c r="R79" s="46">
        <f>Inputs!$B$31</f>
        <v>120000</v>
      </c>
      <c r="S79" s="46">
        <f>Inputs!$B$31</f>
        <v>120000</v>
      </c>
      <c r="T79" s="46">
        <f>Inputs!$B$31</f>
        <v>120000</v>
      </c>
      <c r="U79" s="46">
        <f>Inputs!$B$31</f>
        <v>120000</v>
      </c>
      <c r="V79" s="46">
        <f>Inputs!$B$31</f>
        <v>120000</v>
      </c>
      <c r="W79" s="46">
        <f>Inputs!$B$31</f>
        <v>120000</v>
      </c>
      <c r="X79" s="46">
        <f>Inputs!$B$31</f>
        <v>120000</v>
      </c>
      <c r="Y79" s="46">
        <f>Inputs!$B$31</f>
        <v>120000</v>
      </c>
      <c r="Z79" s="46">
        <f>SUMIF($B$13:$Y$13,"Yes",B79:Y79)</f>
        <v>2880000</v>
      </c>
      <c r="AA79" s="46">
        <f>SUM(B79:M79)</f>
        <v>1440000</v>
      </c>
      <c r="AB79" s="46">
        <f>SUM(B79:Y79)</f>
        <v>2880000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185183.0099305449</v>
      </c>
      <c r="C81" s="46">
        <f>(SUM($AA$18:$AA$29)-SUM($AA$36,$AA$42,$AA$48,$AA$54,$AA$60,$AA$66,$AA$72:$AA$79))*Parameters!$B$37/12</f>
        <v>185183.0099305449</v>
      </c>
      <c r="D81" s="46">
        <f>(SUM($AA$18:$AA$29)-SUM($AA$36,$AA$42,$AA$48,$AA$54,$AA$60,$AA$66,$AA$72:$AA$79))*Parameters!$B$37/12</f>
        <v>185183.0099305449</v>
      </c>
      <c r="E81" s="46">
        <f>(SUM($AA$18:$AA$29)-SUM($AA$36,$AA$42,$AA$48,$AA$54,$AA$60,$AA$66,$AA$72:$AA$79))*Parameters!$B$37/12</f>
        <v>185183.0099305449</v>
      </c>
      <c r="F81" s="46">
        <f>(SUM($AA$18:$AA$29)-SUM($AA$36,$AA$42,$AA$48,$AA$54,$AA$60,$AA$66,$AA$72:$AA$79))*Parameters!$B$37/12</f>
        <v>185183.0099305449</v>
      </c>
      <c r="G81" s="46">
        <f>(SUM($AA$18:$AA$29)-SUM($AA$36,$AA$42,$AA$48,$AA$54,$AA$60,$AA$66,$AA$72:$AA$79))*Parameters!$B$37/12</f>
        <v>185183.0099305449</v>
      </c>
      <c r="H81" s="46">
        <f>(SUM($AA$18:$AA$29)-SUM($AA$36,$AA$42,$AA$48,$AA$54,$AA$60,$AA$66,$AA$72:$AA$79))*Parameters!$B$37/12</f>
        <v>185183.0099305449</v>
      </c>
      <c r="I81" s="46">
        <f>(SUM($AA$18:$AA$29)-SUM($AA$36,$AA$42,$AA$48,$AA$54,$AA$60,$AA$66,$AA$72:$AA$79))*Parameters!$B$37/12</f>
        <v>185183.0099305449</v>
      </c>
      <c r="J81" s="46">
        <f>(SUM($AA$18:$AA$29)-SUM($AA$36,$AA$42,$AA$48,$AA$54,$AA$60,$AA$66,$AA$72:$AA$79))*Parameters!$B$37/12</f>
        <v>185183.0099305449</v>
      </c>
      <c r="K81" s="46">
        <f>(SUM($AA$18:$AA$29)-SUM($AA$36,$AA$42,$AA$48,$AA$54,$AA$60,$AA$66,$AA$72:$AA$79))*Parameters!$B$37/12</f>
        <v>185183.0099305449</v>
      </c>
      <c r="L81" s="46">
        <f>(SUM($AA$18:$AA$29)-SUM($AA$36,$AA$42,$AA$48,$AA$54,$AA$60,$AA$66,$AA$72:$AA$79))*Parameters!$B$37/12</f>
        <v>185183.0099305449</v>
      </c>
      <c r="M81" s="46">
        <f>(SUM($AA$18:$AA$29)-SUM($AA$36,$AA$42,$AA$48,$AA$54,$AA$60,$AA$66,$AA$72:$AA$79))*Parameters!$B$37/12</f>
        <v>185183.0099305449</v>
      </c>
      <c r="N81" s="46">
        <f>(SUM($AA$18:$AA$29)-SUM($AA$36,$AA$42,$AA$48,$AA$54,$AA$60,$AA$66,$AA$72:$AA$79))*Parameters!$B$37/12</f>
        <v>185183.0099305449</v>
      </c>
      <c r="O81" s="46">
        <f>(SUM($AA$18:$AA$29)-SUM($AA$36,$AA$42,$AA$48,$AA$54,$AA$60,$AA$66,$AA$72:$AA$79))*Parameters!$B$37/12</f>
        <v>185183.0099305449</v>
      </c>
      <c r="P81" s="46">
        <f>(SUM($AA$18:$AA$29)-SUM($AA$36,$AA$42,$AA$48,$AA$54,$AA$60,$AA$66,$AA$72:$AA$79))*Parameters!$B$37/12</f>
        <v>185183.0099305449</v>
      </c>
      <c r="Q81" s="46">
        <f>(SUM($AA$18:$AA$29)-SUM($AA$36,$AA$42,$AA$48,$AA$54,$AA$60,$AA$66,$AA$72:$AA$79))*Parameters!$B$37/12</f>
        <v>185183.0099305449</v>
      </c>
      <c r="R81" s="46">
        <f>(SUM($AA$18:$AA$29)-SUM($AA$36,$AA$42,$AA$48,$AA$54,$AA$60,$AA$66,$AA$72:$AA$79))*Parameters!$B$37/12</f>
        <v>185183.0099305449</v>
      </c>
      <c r="S81" s="46">
        <f>(SUM($AA$18:$AA$29)-SUM($AA$36,$AA$42,$AA$48,$AA$54,$AA$60,$AA$66,$AA$72:$AA$79))*Parameters!$B$37/12</f>
        <v>185183.0099305449</v>
      </c>
      <c r="T81" s="46">
        <f>(SUM($AA$18:$AA$29)-SUM($AA$36,$AA$42,$AA$48,$AA$54,$AA$60,$AA$66,$AA$72:$AA$79))*Parameters!$B$37/12</f>
        <v>185183.0099305449</v>
      </c>
      <c r="U81" s="46">
        <f>(SUM($AA$18:$AA$29)-SUM($AA$36,$AA$42,$AA$48,$AA$54,$AA$60,$AA$66,$AA$72:$AA$79))*Parameters!$B$37/12</f>
        <v>185183.0099305449</v>
      </c>
      <c r="V81" s="46">
        <f>(SUM($AA$18:$AA$29)-SUM($AA$36,$AA$42,$AA$48,$AA$54,$AA$60,$AA$66,$AA$72:$AA$79))*Parameters!$B$37/12</f>
        <v>185183.0099305449</v>
      </c>
      <c r="W81" s="46">
        <f>(SUM($AA$18:$AA$29)-SUM($AA$36,$AA$42,$AA$48,$AA$54,$AA$60,$AA$66,$AA$72:$AA$79))*Parameters!$B$37/12</f>
        <v>185183.0099305449</v>
      </c>
      <c r="X81" s="46">
        <f>(SUM($AA$18:$AA$29)-SUM($AA$36,$AA$42,$AA$48,$AA$54,$AA$60,$AA$66,$AA$72:$AA$79))*Parameters!$B$37/12</f>
        <v>185183.0099305449</v>
      </c>
      <c r="Y81" s="46">
        <f>(SUM($AA$18:$AA$29)-SUM($AA$36,$AA$42,$AA$48,$AA$54,$AA$60,$AA$66,$AA$72:$AA$79))*Parameters!$B$37/12</f>
        <v>185183.0099305449</v>
      </c>
      <c r="Z81" s="46">
        <f>SUMIF($B$13:$Y$13,"Yes",B81:Y81)</f>
        <v>4444392.238333078</v>
      </c>
      <c r="AA81" s="46">
        <f>SUM(B81:M81)</f>
        <v>2222196.119166539</v>
      </c>
      <c r="AB81" s="46">
        <f>SUM(B81:Y81)</f>
        <v>4444392.238333078</v>
      </c>
    </row>
    <row r="82" spans="1:30">
      <c r="A82" s="16" t="s">
        <v>52</v>
      </c>
      <c r="B82" s="46">
        <f>SUM(B83:B87)</f>
        <v>417926.7196632586</v>
      </c>
      <c r="C82" s="46">
        <f>SUM(C83:C87)</f>
        <v>417926.7196632586</v>
      </c>
      <c r="D82" s="46">
        <f>SUM(D83:D87)</f>
        <v>417926.7196632586</v>
      </c>
      <c r="E82" s="46">
        <f>SUM(E83:E87)</f>
        <v>417926.7196632586</v>
      </c>
      <c r="F82" s="46">
        <f>SUM(F83:F87)</f>
        <v>417926.7196632586</v>
      </c>
      <c r="G82" s="46">
        <f>SUM(G83:G87)</f>
        <v>417926.7196632586</v>
      </c>
      <c r="H82" s="46">
        <f>SUM(H83:H87)</f>
        <v>417926.7196632586</v>
      </c>
      <c r="I82" s="46">
        <f>SUM(I83:I87)</f>
        <v>417926.7196632586</v>
      </c>
      <c r="J82" s="46">
        <f>SUM(J83:J87)</f>
        <v>417926.7196632586</v>
      </c>
      <c r="K82" s="46">
        <f>SUM(K83:K87)</f>
        <v>417926.7196632586</v>
      </c>
      <c r="L82" s="46">
        <f>SUM(L83:L87)</f>
        <v>1045647.813057336</v>
      </c>
      <c r="M82" s="46">
        <f>SUM(M83:M87)</f>
        <v>247728.7887596899</v>
      </c>
      <c r="N82" s="46">
        <f>SUM(N83:N87)</f>
        <v>247728.7887596899</v>
      </c>
      <c r="O82" s="46">
        <f>SUM(O83:O87)</f>
        <v>247728.7887596899</v>
      </c>
      <c r="P82" s="46">
        <f>SUM(P83:P87)</f>
        <v>247728.7887596899</v>
      </c>
      <c r="Q82" s="46">
        <f>SUM(Q83:Q87)</f>
        <v>247728.7887596899</v>
      </c>
      <c r="R82" s="46">
        <f>SUM(R83:R87)</f>
        <v>247728.7887596899</v>
      </c>
      <c r="S82" s="46">
        <f>SUM(S83:S87)</f>
        <v>247728.7887596899</v>
      </c>
      <c r="T82" s="46">
        <f>SUM(T83:T87)</f>
        <v>247728.7887596899</v>
      </c>
      <c r="U82" s="46">
        <f>SUM(U83:U87)</f>
        <v>247728.7887596899</v>
      </c>
      <c r="V82" s="46">
        <f>SUM(V83:V87)</f>
        <v>247728.7887596899</v>
      </c>
      <c r="W82" s="46">
        <f>SUM(W83:W87)</f>
        <v>247728.7887596899</v>
      </c>
      <c r="X82" s="46">
        <f>SUM(X83:X87)</f>
        <v>247728.7887596899</v>
      </c>
      <c r="Y82" s="46">
        <f>SUM(Y83:Y87)</f>
        <v>247728.7887596899</v>
      </c>
      <c r="Z82" s="46">
        <f>SUMIF($B$13:$Y$13,"Yes",B82:Y82)</f>
        <v>8445389.26356589</v>
      </c>
      <c r="AA82" s="46">
        <f>SUM(B82:M82)</f>
        <v>5472643.798449612</v>
      </c>
      <c r="AB82" s="46">
        <f>SUM(B82:Y82)</f>
        <v>8445389.26356589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116371.7054263566</v>
      </c>
      <c r="C84" s="46">
        <f>IF(Calculations!$E24&gt;COUNT(Output!$B$35:C$35),Calculations!$B24,IF(Calculations!$E24=COUNT(Output!$B$35:C$35),Inputs!$B57-Calculations!$C24*(Calculations!$E24-1)+Calculations!$D24,0))</f>
        <v>116371.7054263566</v>
      </c>
      <c r="D84" s="46">
        <f>IF(Calculations!$E24&gt;COUNT(Output!$B$35:D$35),Calculations!$B24,IF(Calculations!$E24=COUNT(Output!$B$35:D$35),Inputs!$B57-Calculations!$C24*(Calculations!$E24-1)+Calculations!$D24,0))</f>
        <v>116371.7054263566</v>
      </c>
      <c r="E84" s="46">
        <f>IF(Calculations!$E24&gt;COUNT(Output!$B$35:E$35),Calculations!$B24,IF(Calculations!$E24=COUNT(Output!$B$35:E$35),Inputs!$B57-Calculations!$C24*(Calculations!$E24-1)+Calculations!$D24,0))</f>
        <v>116371.7054263566</v>
      </c>
      <c r="F84" s="46">
        <f>IF(Calculations!$E24&gt;COUNT(Output!$B$35:F$35),Calculations!$B24,IF(Calculations!$E24=COUNT(Output!$B$35:F$35),Inputs!$B57-Calculations!$C24*(Calculations!$E24-1)+Calculations!$D24,0))</f>
        <v>116371.7054263566</v>
      </c>
      <c r="G84" s="46">
        <f>IF(Calculations!$E24&gt;COUNT(Output!$B$35:G$35),Calculations!$B24,IF(Calculations!$E24=COUNT(Output!$B$35:G$35),Inputs!$B57-Calculations!$C24*(Calculations!$E24-1)+Calculations!$D24,0))</f>
        <v>116371.7054263566</v>
      </c>
      <c r="H84" s="46">
        <f>IF(Calculations!$E24&gt;COUNT(Output!$B$35:H$35),Calculations!$B24,IF(Calculations!$E24=COUNT(Output!$B$35:H$35),Inputs!$B57-Calculations!$C24*(Calculations!$E24-1)+Calculations!$D24,0))</f>
        <v>116371.7054263566</v>
      </c>
      <c r="I84" s="46">
        <f>IF(Calculations!$E24&gt;COUNT(Output!$B$35:I$35),Calculations!$B24,IF(Calculations!$E24=COUNT(Output!$B$35:I$35),Inputs!$B57-Calculations!$C24*(Calculations!$E24-1)+Calculations!$D24,0))</f>
        <v>116371.7054263566</v>
      </c>
      <c r="J84" s="46">
        <f>IF(Calculations!$E24&gt;COUNT(Output!$B$35:J$35),Calculations!$B24,IF(Calculations!$E24=COUNT(Output!$B$35:J$35),Inputs!$B57-Calculations!$C24*(Calculations!$E24-1)+Calculations!$D24,0))</f>
        <v>116371.7054263566</v>
      </c>
      <c r="K84" s="46">
        <f>IF(Calculations!$E24&gt;COUNT(Output!$B$35:K$35),Calculations!$B24,IF(Calculations!$E24=COUNT(Output!$B$35:K$35),Inputs!$B57-Calculations!$C24*(Calculations!$E24-1)+Calculations!$D24,0))</f>
        <v>116371.7054263566</v>
      </c>
      <c r="L84" s="46">
        <f>IF(Calculations!$E24&gt;COUNT(Output!$B$35:L$35),Calculations!$B24,IF(Calculations!$E24=COUNT(Output!$B$35:L$35),Inputs!$B57-Calculations!$C24*(Calculations!$E24-1)+Calculations!$D24,0))</f>
        <v>116371.7054263566</v>
      </c>
      <c r="M84" s="46">
        <f>IF(Calculations!$E24&gt;COUNT(Output!$B$35:M$35),Calculations!$B24,IF(Calculations!$E24=COUNT(Output!$B$35:M$35),Inputs!$B57-Calculations!$C24*(Calculations!$E24-1)+Calculations!$D24,0))</f>
        <v>116371.7054263566</v>
      </c>
      <c r="N84" s="46">
        <f>IF(Calculations!$E24&gt;COUNT(Output!$B$35:N$35),Calculations!$B24,IF(Calculations!$E24=COUNT(Output!$B$35:N$35),Inputs!$B57-Calculations!$C24*(Calculations!$E24-1)+Calculations!$D24,0))</f>
        <v>116371.7054263566</v>
      </c>
      <c r="O84" s="46">
        <f>IF(Calculations!$E24&gt;COUNT(Output!$B$35:O$35),Calculations!$B24,IF(Calculations!$E24=COUNT(Output!$B$35:O$35),Inputs!$B57-Calculations!$C24*(Calculations!$E24-1)+Calculations!$D24,0))</f>
        <v>116371.7054263566</v>
      </c>
      <c r="P84" s="46">
        <f>IF(Calculations!$E24&gt;COUNT(Output!$B$35:P$35),Calculations!$B24,IF(Calculations!$E24=COUNT(Output!$B$35:P$35),Inputs!$B57-Calculations!$C24*(Calculations!$E24-1)+Calculations!$D24,0))</f>
        <v>116371.7054263566</v>
      </c>
      <c r="Q84" s="46">
        <f>IF(Calculations!$E24&gt;COUNT(Output!$B$35:Q$35),Calculations!$B24,IF(Calculations!$E24=COUNT(Output!$B$35:Q$35),Inputs!$B57-Calculations!$C24*(Calculations!$E24-1)+Calculations!$D24,0))</f>
        <v>116371.7054263566</v>
      </c>
      <c r="R84" s="46">
        <f>IF(Calculations!$E24&gt;COUNT(Output!$B$35:R$35),Calculations!$B24,IF(Calculations!$E24=COUNT(Output!$B$35:R$35),Inputs!$B57-Calculations!$C24*(Calculations!$E24-1)+Calculations!$D24,0))</f>
        <v>116371.7054263566</v>
      </c>
      <c r="S84" s="46">
        <f>IF(Calculations!$E24&gt;COUNT(Output!$B$35:S$35),Calculations!$B24,IF(Calculations!$E24=COUNT(Output!$B$35:S$35),Inputs!$B57-Calculations!$C24*(Calculations!$E24-1)+Calculations!$D24,0))</f>
        <v>116371.7054263566</v>
      </c>
      <c r="T84" s="46">
        <f>IF(Calculations!$E24&gt;COUNT(Output!$B$35:T$35),Calculations!$B24,IF(Calculations!$E24=COUNT(Output!$B$35:T$35),Inputs!$B57-Calculations!$C24*(Calculations!$E24-1)+Calculations!$D24,0))</f>
        <v>116371.7054263566</v>
      </c>
      <c r="U84" s="46">
        <f>IF(Calculations!$E24&gt;COUNT(Output!$B$35:U$35),Calculations!$B24,IF(Calculations!$E24=COUNT(Output!$B$35:U$35),Inputs!$B57-Calculations!$C24*(Calculations!$E24-1)+Calculations!$D24,0))</f>
        <v>116371.7054263566</v>
      </c>
      <c r="V84" s="46">
        <f>IF(Calculations!$E24&gt;COUNT(Output!$B$35:V$35),Calculations!$B24,IF(Calculations!$E24=COUNT(Output!$B$35:V$35),Inputs!$B57-Calculations!$C24*(Calculations!$E24-1)+Calculations!$D24,0))</f>
        <v>116371.7054263566</v>
      </c>
      <c r="W84" s="46">
        <f>IF(Calculations!$E24&gt;COUNT(Output!$B$35:W$35),Calculations!$B24,IF(Calculations!$E24=COUNT(Output!$B$35:W$35),Inputs!$B57-Calculations!$C24*(Calculations!$E24-1)+Calculations!$D24,0))</f>
        <v>116371.7054263566</v>
      </c>
      <c r="X84" s="46">
        <f>IF(Calculations!$E24&gt;COUNT(Output!$B$35:X$35),Calculations!$B24,IF(Calculations!$E24=COUNT(Output!$B$35:X$35),Inputs!$B57-Calculations!$C24*(Calculations!$E24-1)+Calculations!$D24,0))</f>
        <v>116371.7054263566</v>
      </c>
      <c r="Y84" s="46">
        <f>IF(Calculations!$E24&gt;COUNT(Output!$B$35:Y$35),Calculations!$B24,IF(Calculations!$E24=COUNT(Output!$B$35:Y$35),Inputs!$B57-Calculations!$C24*(Calculations!$E24-1)+Calculations!$D24,0))</f>
        <v>116371.7054263566</v>
      </c>
      <c r="Z84" s="46">
        <f>SUMIF($B$13:$Y$13,"Yes",B84:Y84)</f>
        <v>2792920.930232559</v>
      </c>
      <c r="AA84" s="46">
        <f>SUM(B84:M84)</f>
        <v>1396460.465116279</v>
      </c>
      <c r="AB84" s="46">
        <f>SUM(B84:Y84)</f>
        <v>2792920.930232559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131357.0833333333</v>
      </c>
      <c r="C85" s="46">
        <f>IF(Calculations!$E25&gt;COUNT(Output!$B$35:C$35),Calculations!$B25,IF(Calculations!$E25=COUNT(Output!$B$35:C$35),Inputs!$B58-Calculations!$C25*(Calculations!$E25-1)+Calculations!$D25,0))</f>
        <v>131357.0833333333</v>
      </c>
      <c r="D85" s="46">
        <f>IF(Calculations!$E25&gt;COUNT(Output!$B$35:D$35),Calculations!$B25,IF(Calculations!$E25=COUNT(Output!$B$35:D$35),Inputs!$B58-Calculations!$C25*(Calculations!$E25-1)+Calculations!$D25,0))</f>
        <v>131357.0833333333</v>
      </c>
      <c r="E85" s="46">
        <f>IF(Calculations!$E25&gt;COUNT(Output!$B$35:E$35),Calculations!$B25,IF(Calculations!$E25=COUNT(Output!$B$35:E$35),Inputs!$B58-Calculations!$C25*(Calculations!$E25-1)+Calculations!$D25,0))</f>
        <v>131357.0833333333</v>
      </c>
      <c r="F85" s="46">
        <f>IF(Calculations!$E25&gt;COUNT(Output!$B$35:F$35),Calculations!$B25,IF(Calculations!$E25=COUNT(Output!$B$35:F$35),Inputs!$B58-Calculations!$C25*(Calculations!$E25-1)+Calculations!$D25,0))</f>
        <v>131357.0833333333</v>
      </c>
      <c r="G85" s="46">
        <f>IF(Calculations!$E25&gt;COUNT(Output!$B$35:G$35),Calculations!$B25,IF(Calculations!$E25=COUNT(Output!$B$35:G$35),Inputs!$B58-Calculations!$C25*(Calculations!$E25-1)+Calculations!$D25,0))</f>
        <v>131357.0833333333</v>
      </c>
      <c r="H85" s="46">
        <f>IF(Calculations!$E25&gt;COUNT(Output!$B$35:H$35),Calculations!$B25,IF(Calculations!$E25=COUNT(Output!$B$35:H$35),Inputs!$B58-Calculations!$C25*(Calculations!$E25-1)+Calculations!$D25,0))</f>
        <v>131357.0833333333</v>
      </c>
      <c r="I85" s="46">
        <f>IF(Calculations!$E25&gt;COUNT(Output!$B$35:I$35),Calculations!$B25,IF(Calculations!$E25=COUNT(Output!$B$35:I$35),Inputs!$B58-Calculations!$C25*(Calculations!$E25-1)+Calculations!$D25,0))</f>
        <v>131357.0833333333</v>
      </c>
      <c r="J85" s="46">
        <f>IF(Calculations!$E25&gt;COUNT(Output!$B$35:J$35),Calculations!$B25,IF(Calculations!$E25=COUNT(Output!$B$35:J$35),Inputs!$B58-Calculations!$C25*(Calculations!$E25-1)+Calculations!$D25,0))</f>
        <v>131357.0833333333</v>
      </c>
      <c r="K85" s="46">
        <f>IF(Calculations!$E25&gt;COUNT(Output!$B$35:K$35),Calculations!$B25,IF(Calculations!$E25=COUNT(Output!$B$35:K$35),Inputs!$B58-Calculations!$C25*(Calculations!$E25-1)+Calculations!$D25,0))</f>
        <v>131357.0833333333</v>
      </c>
      <c r="L85" s="46">
        <f>IF(Calculations!$E25&gt;COUNT(Output!$B$35:L$35),Calculations!$B25,IF(Calculations!$E25=COUNT(Output!$B$35:L$35),Inputs!$B58-Calculations!$C25*(Calculations!$E25-1)+Calculations!$D25,0))</f>
        <v>131357.0833333333</v>
      </c>
      <c r="M85" s="46">
        <f>IF(Calculations!$E25&gt;COUNT(Output!$B$35:M$35),Calculations!$B25,IF(Calculations!$E25=COUNT(Output!$B$35:M$35),Inputs!$B58-Calculations!$C25*(Calculations!$E25-1)+Calculations!$D25,0))</f>
        <v>131357.0833333333</v>
      </c>
      <c r="N85" s="46">
        <f>IF(Calculations!$E25&gt;COUNT(Output!$B$35:N$35),Calculations!$B25,IF(Calculations!$E25=COUNT(Output!$B$35:N$35),Inputs!$B58-Calculations!$C25*(Calculations!$E25-1)+Calculations!$D25,0))</f>
        <v>131357.0833333333</v>
      </c>
      <c r="O85" s="46">
        <f>IF(Calculations!$E25&gt;COUNT(Output!$B$35:O$35),Calculations!$B25,IF(Calculations!$E25=COUNT(Output!$B$35:O$35),Inputs!$B58-Calculations!$C25*(Calculations!$E25-1)+Calculations!$D25,0))</f>
        <v>131357.0833333333</v>
      </c>
      <c r="P85" s="46">
        <f>IF(Calculations!$E25&gt;COUNT(Output!$B$35:P$35),Calculations!$B25,IF(Calculations!$E25=COUNT(Output!$B$35:P$35),Inputs!$B58-Calculations!$C25*(Calculations!$E25-1)+Calculations!$D25,0))</f>
        <v>131357.0833333333</v>
      </c>
      <c r="Q85" s="46">
        <f>IF(Calculations!$E25&gt;COUNT(Output!$B$35:Q$35),Calculations!$B25,IF(Calculations!$E25=COUNT(Output!$B$35:Q$35),Inputs!$B58-Calculations!$C25*(Calculations!$E25-1)+Calculations!$D25,0))</f>
        <v>131357.0833333333</v>
      </c>
      <c r="R85" s="46">
        <f>IF(Calculations!$E25&gt;COUNT(Output!$B$35:R$35),Calculations!$B25,IF(Calculations!$E25=COUNT(Output!$B$35:R$35),Inputs!$B58-Calculations!$C25*(Calculations!$E25-1)+Calculations!$D25,0))</f>
        <v>131357.0833333333</v>
      </c>
      <c r="S85" s="46">
        <f>IF(Calculations!$E25&gt;COUNT(Output!$B$35:S$35),Calculations!$B25,IF(Calculations!$E25=COUNT(Output!$B$35:S$35),Inputs!$B58-Calculations!$C25*(Calculations!$E25-1)+Calculations!$D25,0))</f>
        <v>131357.0833333333</v>
      </c>
      <c r="T85" s="46">
        <f>IF(Calculations!$E25&gt;COUNT(Output!$B$35:T$35),Calculations!$B25,IF(Calculations!$E25=COUNT(Output!$B$35:T$35),Inputs!$B58-Calculations!$C25*(Calculations!$E25-1)+Calculations!$D25,0))</f>
        <v>131357.0833333333</v>
      </c>
      <c r="U85" s="46">
        <f>IF(Calculations!$E25&gt;COUNT(Output!$B$35:U$35),Calculations!$B25,IF(Calculations!$E25=COUNT(Output!$B$35:U$35),Inputs!$B58-Calculations!$C25*(Calculations!$E25-1)+Calculations!$D25,0))</f>
        <v>131357.0833333333</v>
      </c>
      <c r="V85" s="46">
        <f>IF(Calculations!$E25&gt;COUNT(Output!$B$35:V$35),Calculations!$B25,IF(Calculations!$E25=COUNT(Output!$B$35:V$35),Inputs!$B58-Calculations!$C25*(Calculations!$E25-1)+Calculations!$D25,0))</f>
        <v>131357.0833333333</v>
      </c>
      <c r="W85" s="46">
        <f>IF(Calculations!$E25&gt;COUNT(Output!$B$35:W$35),Calculations!$B25,IF(Calculations!$E25=COUNT(Output!$B$35:W$35),Inputs!$B58-Calculations!$C25*(Calculations!$E25-1)+Calculations!$D25,0))</f>
        <v>131357.0833333333</v>
      </c>
      <c r="X85" s="46">
        <f>IF(Calculations!$E25&gt;COUNT(Output!$B$35:X$35),Calculations!$B25,IF(Calculations!$E25=COUNT(Output!$B$35:X$35),Inputs!$B58-Calculations!$C25*(Calculations!$E25-1)+Calculations!$D25,0))</f>
        <v>131357.0833333333</v>
      </c>
      <c r="Y85" s="46">
        <f>IF(Calculations!$E25&gt;COUNT(Output!$B$35:Y$35),Calculations!$B25,IF(Calculations!$E25=COUNT(Output!$B$35:Y$35),Inputs!$B58-Calculations!$C25*(Calculations!$E25-1)+Calculations!$D25,0))</f>
        <v>131357.0833333333</v>
      </c>
      <c r="Z85" s="46">
        <f>SUMIF($B$13:$Y$13,"Yes",B85:Y85)</f>
        <v>3152570</v>
      </c>
      <c r="AA85" s="46">
        <f>SUM(B85:M85)</f>
        <v>1576284.999999999</v>
      </c>
      <c r="AB85" s="46">
        <f>SUM(B85:Y85)</f>
        <v>3152570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170197.9309035687</v>
      </c>
      <c r="C86" s="46">
        <f>IF(Calculations!$E26&gt;COUNT(Output!$B$35:C$35),Calculations!$B26,IF(Calculations!$E26=COUNT(Output!$B$35:C$35),Inputs!$B59-Calculations!$C26*(Calculations!$E26-1)+Calculations!$D26,0))</f>
        <v>170197.9309035687</v>
      </c>
      <c r="D86" s="46">
        <f>IF(Calculations!$E26&gt;COUNT(Output!$B$35:D$35),Calculations!$B26,IF(Calculations!$E26=COUNT(Output!$B$35:D$35),Inputs!$B59-Calculations!$C26*(Calculations!$E26-1)+Calculations!$D26,0))</f>
        <v>170197.9309035687</v>
      </c>
      <c r="E86" s="46">
        <f>IF(Calculations!$E26&gt;COUNT(Output!$B$35:E$35),Calculations!$B26,IF(Calculations!$E26=COUNT(Output!$B$35:E$35),Inputs!$B59-Calculations!$C26*(Calculations!$E26-1)+Calculations!$D26,0))</f>
        <v>170197.9309035687</v>
      </c>
      <c r="F86" s="46">
        <f>IF(Calculations!$E26&gt;COUNT(Output!$B$35:F$35),Calculations!$B26,IF(Calculations!$E26=COUNT(Output!$B$35:F$35),Inputs!$B59-Calculations!$C26*(Calculations!$E26-1)+Calculations!$D26,0))</f>
        <v>170197.9309035687</v>
      </c>
      <c r="G86" s="46">
        <f>IF(Calculations!$E26&gt;COUNT(Output!$B$35:G$35),Calculations!$B26,IF(Calculations!$E26=COUNT(Output!$B$35:G$35),Inputs!$B59-Calculations!$C26*(Calculations!$E26-1)+Calculations!$D26,0))</f>
        <v>170197.9309035687</v>
      </c>
      <c r="H86" s="46">
        <f>IF(Calculations!$E26&gt;COUNT(Output!$B$35:H$35),Calculations!$B26,IF(Calculations!$E26=COUNT(Output!$B$35:H$35),Inputs!$B59-Calculations!$C26*(Calculations!$E26-1)+Calculations!$D26,0))</f>
        <v>170197.9309035687</v>
      </c>
      <c r="I86" s="46">
        <f>IF(Calculations!$E26&gt;COUNT(Output!$B$35:I$35),Calculations!$B26,IF(Calculations!$E26=COUNT(Output!$B$35:I$35),Inputs!$B59-Calculations!$C26*(Calculations!$E26-1)+Calculations!$D26,0))</f>
        <v>170197.9309035687</v>
      </c>
      <c r="J86" s="46">
        <f>IF(Calculations!$E26&gt;COUNT(Output!$B$35:J$35),Calculations!$B26,IF(Calculations!$E26=COUNT(Output!$B$35:J$35),Inputs!$B59-Calculations!$C26*(Calculations!$E26-1)+Calculations!$D26,0))</f>
        <v>170197.9309035687</v>
      </c>
      <c r="K86" s="46">
        <f>IF(Calculations!$E26&gt;COUNT(Output!$B$35:K$35),Calculations!$B26,IF(Calculations!$E26=COUNT(Output!$B$35:K$35),Inputs!$B59-Calculations!$C26*(Calculations!$E26-1)+Calculations!$D26,0))</f>
        <v>170197.9309035687</v>
      </c>
      <c r="L86" s="46">
        <f>IF(Calculations!$E26&gt;COUNT(Output!$B$35:L$35),Calculations!$B26,IF(Calculations!$E26=COUNT(Output!$B$35:L$35),Inputs!$B59-Calculations!$C26*(Calculations!$E26-1)+Calculations!$D26,0))</f>
        <v>797919.0242976461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2499898.333333333</v>
      </c>
      <c r="AA86" s="46">
        <f>SUM(B86:M86)</f>
        <v>2499898.333333333</v>
      </c>
      <c r="AB86" s="46">
        <f>SUM(B86:Y86)</f>
        <v>2499898.333333333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1520327.862453874</v>
      </c>
      <c r="C88" s="19">
        <f>SUM(C72:C82,C66,C60,C54,C48,C42,C36)</f>
        <v>837443.0629271369</v>
      </c>
      <c r="D88" s="19">
        <f>SUM(D72:D82,D66,D60,D54,D48,D42,D36)</f>
        <v>1330782.724623461</v>
      </c>
      <c r="E88" s="19">
        <f>SUM(E72:E82,E66,E60,E54,E48,E42,E36)</f>
        <v>1306963.062927137</v>
      </c>
      <c r="F88" s="19">
        <f>SUM(F72:F82,F66,F60,F54,F48,F42,F36)</f>
        <v>1096963.062927137</v>
      </c>
      <c r="G88" s="19">
        <f>SUM(G72:G82,G66,G60,G54,G48,G42,G36)</f>
        <v>1072963.062927137</v>
      </c>
      <c r="H88" s="19">
        <f>SUM(H72:H82,H66,H60,H54,H48,H42,H36)</f>
        <v>1520327.862453874</v>
      </c>
      <c r="I88" s="19">
        <f>SUM(I72:I82,I66,I60,I54,I48,I42,I36)</f>
        <v>837443.0629271369</v>
      </c>
      <c r="J88" s="19">
        <f>SUM(J72:J82,J66,J60,J54,J48,J42,J36)</f>
        <v>1330782.724623461</v>
      </c>
      <c r="K88" s="19">
        <f>SUM(K72:K82,K66,K60,K54,K48,K42,K36)</f>
        <v>1306963.062927137</v>
      </c>
      <c r="L88" s="19">
        <f>SUM(L72:L82,L66,L60,L54,L48,L42,L36)</f>
        <v>1724684.156321214</v>
      </c>
      <c r="M88" s="19">
        <f>SUM(M72:M82,M66,M60,M54,M48,M42,M36)</f>
        <v>906765.1320235681</v>
      </c>
      <c r="N88" s="19">
        <f>SUM(N72:N82,N66,N60,N54,N48,N42,N36)</f>
        <v>1350129.931550305</v>
      </c>
      <c r="O88" s="19">
        <f>SUM(O72:O82,O66,O60,O54,O48,O42,O36)</f>
        <v>667245.1320235681</v>
      </c>
      <c r="P88" s="19">
        <f>SUM(P72:P82,P66,P60,P54,P48,P42,P36)</f>
        <v>1160584.793719893</v>
      </c>
      <c r="Q88" s="19">
        <f>SUM(Q72:Q82,Q66,Q60,Q54,Q48,Q42,Q36)</f>
        <v>1136765.132023568</v>
      </c>
      <c r="R88" s="19">
        <f>SUM(R72:R82,R66,R60,R54,R48,R42,R36)</f>
        <v>926765.1320235681</v>
      </c>
      <c r="S88" s="19">
        <f>SUM(S72:S82,S66,S60,S54,S48,S42,S36)</f>
        <v>902765.1320235681</v>
      </c>
      <c r="T88" s="19">
        <f>SUM(T72:T82,T66,T60,T54,T48,T42,T36)</f>
        <v>1350129.931550305</v>
      </c>
      <c r="U88" s="19">
        <f>SUM(U72:U82,U66,U60,U54,U48,U42,U36)</f>
        <v>667245.1320235681</v>
      </c>
      <c r="V88" s="19">
        <f>SUM(V72:V82,V66,V60,V54,V48,V42,V36)</f>
        <v>1160584.793719893</v>
      </c>
      <c r="W88" s="19">
        <f>SUM(W72:W82,W66,W60,W54,W48,W42,W36)</f>
        <v>1136765.132023568</v>
      </c>
      <c r="X88" s="19">
        <f>SUM(X72:X82,X66,X60,X54,X48,X42,X36)</f>
        <v>926765.1320235681</v>
      </c>
      <c r="Y88" s="19">
        <f>SUM(Y72:Y82,Y66,Y60,Y54,Y48,Y42,Y36)</f>
        <v>906765.1320235681</v>
      </c>
      <c r="Z88" s="19">
        <f>SUMIF($B$13:$Y$13,"Yes",B88:Y88)</f>
        <v>27084919.34679122</v>
      </c>
      <c r="AA88" s="19">
        <f>SUM(B88:M88)</f>
        <v>14792408.84006227</v>
      </c>
      <c r="AB88" s="19">
        <f>SUM(B88:Y88)</f>
        <v>27084919.34679122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500000</v>
      </c>
    </row>
    <row r="95" spans="1:30">
      <c r="A95" t="s">
        <v>61</v>
      </c>
      <c r="B95" s="36">
        <f>Inputs!B47</f>
        <v>15000000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2013000000</v>
      </c>
    </row>
    <row r="98" spans="1:30">
      <c r="A98" t="s">
        <v>64</v>
      </c>
      <c r="B98" s="36">
        <f>IF(Inputs!B44="Yes",Inputs!B45,0)</f>
        <v>125000000</v>
      </c>
    </row>
    <row r="99" spans="1:30">
      <c r="A99" t="s">
        <v>65</v>
      </c>
      <c r="B99" s="36">
        <f>Inputs!B46</f>
        <v>35000000</v>
      </c>
    </row>
    <row r="100" spans="1:30" customHeight="1" ht="15.75">
      <c r="A100" s="18" t="s">
        <v>66</v>
      </c>
      <c r="B100" s="37">
        <f>Inputs!B48</f>
        <v>850000</v>
      </c>
    </row>
    <row r="101" spans="1:30" customHeight="1" ht="15.75">
      <c r="A101" s="1" t="s">
        <v>67</v>
      </c>
      <c r="B101" s="19">
        <f>SUM(B94:B100)</f>
        <v>2189350000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800000</v>
      </c>
    </row>
    <row r="105" spans="1:30">
      <c r="A105" t="s">
        <v>70</v>
      </c>
      <c r="B105" s="36">
        <f>SUM(Inputs!B56:B60)</f>
        <v>15203007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17503007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80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 t="s">
        <v>97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20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500000</v>
      </c>
    </row>
    <row r="31" spans="1:48">
      <c r="A31" s="5" t="s">
        <v>118</v>
      </c>
      <c r="B31" s="158">
        <v>120000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>
        <v>0</v>
      </c>
      <c r="C35" s="145" t="s">
        <v>98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125000000</v>
      </c>
    </row>
    <row r="46" spans="1:48" customHeight="1" ht="30">
      <c r="A46" s="57" t="s">
        <v>132</v>
      </c>
      <c r="B46" s="161">
        <v>35000000</v>
      </c>
    </row>
    <row r="47" spans="1:48" customHeight="1" ht="30">
      <c r="A47" s="57" t="s">
        <v>133</v>
      </c>
      <c r="B47" s="161">
        <v>15000000</v>
      </c>
    </row>
    <row r="48" spans="1:48" customHeight="1" ht="30">
      <c r="A48" s="57" t="s">
        <v>134</v>
      </c>
      <c r="B48" s="161">
        <v>850000</v>
      </c>
    </row>
    <row r="49" spans="1:48" customHeight="1" ht="30">
      <c r="A49" s="57" t="s">
        <v>135</v>
      </c>
      <c r="B49" s="161">
        <v>500000</v>
      </c>
    </row>
    <row r="50" spans="1:48">
      <c r="A50" s="43"/>
      <c r="B50" s="36"/>
    </row>
    <row r="51" spans="1:48">
      <c r="A51" s="58" t="s">
        <v>136</v>
      </c>
      <c r="B51" s="161">
        <v>800000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3430000</v>
      </c>
      <c r="B56" s="159">
        <v>3204700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3430000</v>
      </c>
      <c r="B57" s="157">
        <v>3200000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>
        <v>7000000</v>
      </c>
      <c r="B58" s="157">
        <v>6983067</v>
      </c>
      <c r="C58" s="164" t="s">
        <v>149</v>
      </c>
      <c r="D58" s="165" t="s">
        <v>145</v>
      </c>
      <c r="E58" s="165" t="s">
        <v>92</v>
      </c>
      <c r="F58" s="165" t="s">
        <v>150</v>
      </c>
    </row>
    <row r="59" spans="1:48">
      <c r="A59" s="157">
        <v>3395000</v>
      </c>
      <c r="B59" s="157">
        <v>1815240</v>
      </c>
      <c r="C59" s="164" t="s">
        <v>151</v>
      </c>
      <c r="D59" s="165" t="s">
        <v>152</v>
      </c>
      <c r="E59" s="165" t="s">
        <v>92</v>
      </c>
      <c r="F59" s="165" t="s">
        <v>150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154</v>
      </c>
      <c r="C65" s="10" t="s">
        <v>155</v>
      </c>
    </row>
    <row r="66" spans="1:48">
      <c r="A66" s="142" t="s">
        <v>98</v>
      </c>
      <c r="B66" s="159">
        <v>2992185</v>
      </c>
      <c r="C66" s="163">
        <v>2484520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3580433</v>
      </c>
      <c r="C67" s="165">
        <v>3073770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3134159</v>
      </c>
      <c r="C68" s="165">
        <v>2615400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1993657</v>
      </c>
      <c r="C69" s="165">
        <v>1480900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1528416</v>
      </c>
      <c r="C70" s="165">
        <v>1020750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5414817</v>
      </c>
      <c r="C71" s="167">
        <v>4910145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8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1500000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36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43313</v>
      </c>
      <c r="D4" s="38">
        <f>IFERROR(DATE(YEAR(B4),MONTH(B4)+T4,DAY(B4)),"")</f>
        <v>43374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43497</v>
      </c>
      <c r="G4" s="38">
        <f>IFERROR(IF($S4=0,"",IF($S4=2,DATE(YEAR(D4),MONTH(D4)+6,DAY(D4)),IF($S4=1,D4,""))),"")</f>
        <v>43556</v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63982.31451854314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3318762.654076832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154000</v>
      </c>
      <c r="W4" s="33">
        <f>IFERROR(J4*H4*Parameters!$B$35+IF(OR(Inputs!F7=Parameters!$E$78,Inputs!F7=Parameters!$E$80),Calculations!H4*Parameters!$B$36,0),0)</f>
        <v>80000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360000</v>
      </c>
      <c r="Z4" s="33">
        <f>IF(Inputs!I7=Parameters!$F$78,H4*INDEX(Parameters!$A$3:$AI$18,MATCH(Calculations!A4,Parameters!$A$3:$A$18,0),MATCH(Parameters!$Q$3,Parameters!$A$3:$AI$3,0)),0)</f>
        <v>200000</v>
      </c>
      <c r="AA4" s="33">
        <f>IFERROR(IF(Inputs!N7&gt;0,INDEX(Parameters!$A$3:$AI$17,MATCH(Calculations!A4,Parameters!$A$3:$A$17,0),MATCH(Parameters!$R$3,Parameters!$A$3:$AI$3,0)),0)*M4/S4,0)</f>
        <v>73579.66169632461</v>
      </c>
      <c r="AB4" s="33">
        <f>H4*IFERROR(INDEX(Parameters!$A$3:$AI$17,MATCH(Calculations!A4,Parameters!$A$3:$A$17,0),MATCH(Parameters!$O$3,Parameters!$A$3:$AI$3,0)),AVERAGE(Parameters!$O$4:$O$17))*(1-Inputs!$B$25/100)</f>
        <v>540000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43252</v>
      </c>
      <c r="D5" s="39">
        <f>IFERROR(DATE(YEAR(B5),MONTH(B5)+T5,DAY(B5)),"")</f>
        <v>43313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43497</v>
      </c>
      <c r="H5" s="16">
        <f>Inputs!C8</f>
        <v>80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75969.39089281468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3031178.696623306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24240</v>
      </c>
      <c r="W5" s="34">
        <f>IFERROR(J5*H5*Parameters!$B$35+IF(OR(Inputs!F8=Parameters!$E$78,Inputs!F8=Parameters!$E$80),Calculations!H5*Parameters!$B$36,0),0)</f>
        <v>160000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24000</v>
      </c>
      <c r="Z5" s="34">
        <f>IF(Inputs!I8=Parameters!$F$78,H5*INDEX(Parameters!$A$3:$AI$18,MATCH(Calculations!A5,Parameters!$A$3:$A$18,0),MATCH(Parameters!$Q$3,Parameters!$A$3:$AI$3,0)),0)</f>
        <v>400000</v>
      </c>
      <c r="AA5" s="34">
        <f>IFERROR(IF(Inputs!N8&gt;0,INDEX(Parameters!$A$3:$AI$17,MATCH(Calculations!A5,Parameters!$A$3:$A$17,0),MATCH(Parameters!$R$3,Parameters!$A$3:$AI$3,0)),0)*M5/S5,0)</f>
        <v>87364.79952673688</v>
      </c>
      <c r="AB5" s="34">
        <f>H5*IFERROR(INDEX(Parameters!$A$3:$AI$17,MATCH(Calculations!A5,Parameters!$A$3:$A$17,0),MATCH(Parameters!$O$3,Parameters!$A$3:$AI$3,0)),AVERAGE(Parameters!$O$4:$O$17))*(1-Inputs!$B$25/100)</f>
        <v>864000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43466</v>
      </c>
      <c r="C6" s="39">
        <f>IFERROR(DATE(YEAR(B6),MONTH(B6)+ROUND(T6/2,0),DAY(B6)),B6)</f>
        <v>43466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3430000</v>
      </c>
      <c r="B23" s="75">
        <f>SUM(C23:D23)</f>
        <v>30543.62041467305</v>
      </c>
      <c r="C23" s="75">
        <f>IF(Inputs!B56&gt;0,(Inputs!A56-Inputs!B56)/(DATE(YEAR(Inputs!$B$76),MONTH(Inputs!$B$76),DAY(Inputs!$B$76))-DATE(YEAR(Inputs!C56),MONTH(Inputs!C56),DAY(Inputs!C56)))*30,0)</f>
        <v>-32339.71291866029</v>
      </c>
      <c r="D23" s="75">
        <f>IF(Inputs!B56&gt;0,Inputs!A56*0.22/12,0)</f>
        <v>62883.33333333334</v>
      </c>
      <c r="E23" s="75">
        <f>IFERROR(ROUNDUP(Inputs!B56/C23,0),0)</f>
        <v>-100</v>
      </c>
    </row>
    <row r="24" spans="1:52">
      <c r="A24" s="46">
        <f>Inputs!A57</f>
        <v>3430000</v>
      </c>
      <c r="B24" s="46">
        <f>SUM(C24:D24)</f>
        <v>116371.7054263566</v>
      </c>
      <c r="C24" s="46">
        <f>IF(Inputs!B57&gt;0,(Inputs!A57-Inputs!B57)/(DATE(YEAR(Inputs!$B$76),MONTH(Inputs!$B$76),DAY(Inputs!$B$76))-DATE(YEAR(Inputs!C57),MONTH(Inputs!C57),DAY(Inputs!C57)))*30,0)</f>
        <v>53488.37209302326</v>
      </c>
      <c r="D24" s="46">
        <f>IF(Inputs!B57&gt;0,Inputs!A57*0.22/12,0)</f>
        <v>62883.33333333334</v>
      </c>
      <c r="E24" s="46">
        <f>IFERROR(ROUNDUP(Inputs!B57/B24,0),0)</f>
        <v>28</v>
      </c>
      <c r="H24" s="1"/>
    </row>
    <row r="25" spans="1:52">
      <c r="A25" s="46">
        <f>Inputs!A58</f>
        <v>7000000</v>
      </c>
      <c r="B25" s="46">
        <f>SUM(C25:D25)</f>
        <v>131357.0833333333</v>
      </c>
      <c r="C25" s="46">
        <f>IF(Inputs!B58&gt;0,(Inputs!A58-Inputs!B58)/(DATE(YEAR(Inputs!$B$76),MONTH(Inputs!$B$76),DAY(Inputs!$B$76))-DATE(YEAR(Inputs!C58),MONTH(Inputs!C58),DAY(Inputs!C58)))*30,0)</f>
        <v>3023.75</v>
      </c>
      <c r="D25" s="46">
        <f>IF(Inputs!B58&gt;0,Inputs!A58*0.22/12,0)</f>
        <v>128333.3333333333</v>
      </c>
      <c r="E25" s="46">
        <f>IFERROR(ROUNDUP(Inputs!B58/B25,0),0)</f>
        <v>54</v>
      </c>
    </row>
    <row r="26" spans="1:52">
      <c r="A26" s="46">
        <f>Inputs!A59</f>
        <v>3395000</v>
      </c>
      <c r="B26" s="46">
        <f>SUM(C26:D26)</f>
        <v>170197.9309035687</v>
      </c>
      <c r="C26" s="46">
        <f>IF(Inputs!B59&gt;0,(Inputs!A59-Inputs!B59)/(DATE(YEAR(Inputs!$B$76),MONTH(Inputs!$B$76),DAY(Inputs!$B$76))-DATE(YEAR(Inputs!C59),MONTH(Inputs!C59),DAY(Inputs!C59)))*30,0)</f>
        <v>107956.264236902</v>
      </c>
      <c r="D26" s="46">
        <f>IF(Inputs!B59&gt;0,Inputs!A59*0.22/12,0)</f>
        <v>62241.66666666666</v>
      </c>
      <c r="E26" s="46">
        <f>IFERROR(ROUNDUP(Inputs!B59/B26,0),0)</f>
        <v>11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Donholm</v>
      </c>
    </row>
    <row r="33" spans="1:52">
      <c r="A33">
        <v>1</v>
      </c>
      <c r="B33" s="128">
        <f>G34</f>
        <v>43175</v>
      </c>
      <c r="C33" s="27">
        <f>IF(B33&lt;&gt;"",IF(COUNT($A$33:A33)&lt;=$G$39,0,$G$41)+IF(COUNT($A$33:A33)&lt;=$G$40,0,$G$42),0)</f>
        <v>66666.66666666666</v>
      </c>
      <c r="D33" s="170">
        <f>IFERROR(DATE(YEAR(B33),MONTH(B33),1)," ")</f>
        <v>43160</v>
      </c>
      <c r="F33" t="s">
        <v>166</v>
      </c>
      <c r="G33" s="128">
        <f>IF(Inputs!B79="","",DATE(YEAR(Inputs!B79),MONTH(Inputs!B79),DAY(Inputs!B79)))</f>
        <v>43136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43206</v>
      </c>
      <c r="C34" s="27">
        <f>IF(B34&lt;&gt;"",IF(COUNT($A$33:A34)&lt;=$G$39,0,$G$41)+IF(COUNT($A$33:A34)&lt;=$G$40,0,$G$42),0)</f>
        <v>66666.66666666666</v>
      </c>
      <c r="D34" s="170">
        <f>IFERROR(DATE(YEAR(B34),MONTH(B34),1)," ")</f>
        <v>43191</v>
      </c>
      <c r="F34" t="s">
        <v>167</v>
      </c>
      <c r="G34" s="128">
        <f>IF(Inputs!B80="","",DATE(YEAR(Inputs!B80),MONTH(Inputs!B80),DAY(Inputs!B80)))</f>
        <v>43175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43236</v>
      </c>
      <c r="C35" s="27">
        <f>IF(B35&lt;&gt;"",IF(COUNT($A$33:A35)&lt;=$G$39,0,$G$41)+IF(COUNT($A$33:A35)&lt;=$G$40,0,$G$42),0)</f>
        <v>66666.66666666666</v>
      </c>
      <c r="D35" s="170">
        <f>IFERROR(DATE(YEAR(B35),MONTH(B35),1)," ")</f>
        <v>43221</v>
      </c>
      <c r="F35" t="s">
        <v>169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43267</v>
      </c>
      <c r="C36" s="27">
        <f>IF(B36&lt;&gt;"",IF(COUNT($A$33:A36)&lt;=$G$39,0,$G$41)+IF(COUNT($A$33:A36)&lt;=$G$40,0,$G$42),0)</f>
        <v>66666.66666666666</v>
      </c>
      <c r="D36" s="170">
        <f>IFERROR(DATE(YEAR(B36),MONTH(B36),1)," ")</f>
        <v>43252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43297</v>
      </c>
      <c r="C37" s="27">
        <f>IF(B37&lt;&gt;"",IF(COUNT($A$33:A37)&lt;=$G$39,0,$G$41)+IF(COUNT($A$33:A37)&lt;=$G$40,0,$G$42),0)</f>
        <v>66666.66666666666</v>
      </c>
      <c r="D37" s="170">
        <f>IFERROR(DATE(YEAR(B37),MONTH(B37),1)," ")</f>
        <v>43282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43328</v>
      </c>
      <c r="C38" s="27">
        <f>IF(B38&lt;&gt;"",IF(COUNT($A$33:A38)&lt;=$G$39,0,$G$41)+IF(COUNT($A$33:A38)&lt;=$G$40,0,$G$42),0)</f>
        <v>66666.66666666666</v>
      </c>
      <c r="D38" s="170">
        <f>IFERROR(DATE(YEAR(B38),MONTH(B38),1)," ")</f>
        <v>43313</v>
      </c>
      <c r="F38" t="s">
        <v>232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43359</v>
      </c>
      <c r="C39" s="27">
        <f>IF(B39&lt;&gt;"",IF(COUNT($A$33:A39)&lt;=$G$39,0,$G$41)+IF(COUNT($A$33:A39)&lt;=$G$40,0,$G$42),0)</f>
        <v>66666.66666666666</v>
      </c>
      <c r="D39" s="170">
        <f>IFERROR(DATE(YEAR(B39),MONTH(B39),1)," ")</f>
        <v>43344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43389</v>
      </c>
      <c r="C40" s="27">
        <f>IF(B40&lt;&gt;"",IF(COUNT($A$33:A40)&lt;=$G$39,0,$G$41)+IF(COUNT($A$33:A40)&lt;=$G$40,0,$G$42),0)</f>
        <v>66666.66666666666</v>
      </c>
      <c r="D40" s="170">
        <f>IFERROR(DATE(YEAR(B40),MONTH(B40),1)," ")</f>
        <v>43374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43420</v>
      </c>
      <c r="C41" s="27">
        <f>IF(B41&lt;&gt;"",IF(COUNT($A$33:A41)&lt;=$G$39,0,$G$41)+IF(COUNT($A$33:A41)&lt;=$G$40,0,$G$42),0)</f>
        <v>66666.66666666666</v>
      </c>
      <c r="D41" s="170">
        <f>IFERROR(DATE(YEAR(B41),MONTH(B41),1)," ")</f>
        <v>43405</v>
      </c>
      <c r="F41" t="s">
        <v>233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43450</v>
      </c>
      <c r="C42" s="27">
        <f>IF(B42&lt;&gt;"",IF(COUNT($A$33:A42)&lt;=$G$39,0,$G$41)+IF(COUNT($A$33:A42)&lt;=$G$40,0,$G$42),0)</f>
        <v>66666.66666666666</v>
      </c>
      <c r="D42" s="170">
        <f>IFERROR(DATE(YEAR(B42),MONTH(B42),1)," ")</f>
        <v>43435</v>
      </c>
      <c r="F42" t="s">
        <v>234</v>
      </c>
      <c r="G42" s="73">
        <f>IFERROR(G35*G36*IF(G37="Monthly",G38/12,IF(G37="Fortnightly",G38/(365/14),G38/(365/28)))/(G38-G40),"")</f>
        <v>25000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43481</v>
      </c>
      <c r="C43" s="27">
        <f>IF(B43&lt;&gt;"",IF(COUNT($A$33:A43)&lt;=$G$39,0,$G$41)+IF(COUNT($A$33:A43)&lt;=$G$40,0,$G$42),0)</f>
        <v>66666.66666666666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43512</v>
      </c>
      <c r="C44" s="27">
        <f>IF(B44&lt;&gt;"",IF(COUNT($A$33:A44)&lt;=$G$39,0,$G$41)+IF(COUNT($A$33:A44)&lt;=$G$40,0,$G$42),0)</f>
        <v>66666.66666666666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43540</v>
      </c>
      <c r="C45" s="27">
        <f>IF(B45&lt;&gt;"",IF(COUNT($A$33:A45)&lt;=$G$39,0,$G$41)+IF(COUNT($A$33:A45)&lt;=$G$40,0,$G$42),0)</f>
        <v>66666.66666666666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43571</v>
      </c>
      <c r="C46" s="27">
        <f>IF(B46&lt;&gt;"",IF(COUNT($A$33:A46)&lt;=$G$39,0,$G$41)+IF(COUNT($A$33:A46)&lt;=$G$40,0,$G$42),0)</f>
        <v>66666.66666666666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43601</v>
      </c>
      <c r="C47" s="27">
        <f>IF(B47&lt;&gt;"",IF(COUNT($A$33:A47)&lt;=$G$39,0,$G$41)+IF(COUNT($A$33:A47)&lt;=$G$40,0,$G$42),0)</f>
        <v>66666.66666666666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43632</v>
      </c>
      <c r="C48" s="27">
        <f>IF(B48&lt;&gt;"",IF(COUNT($A$33:A48)&lt;=$G$39,0,$G$41)+IF(COUNT($A$33:A48)&lt;=$G$40,0,$G$42),0)</f>
        <v>66666.66666666666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43662</v>
      </c>
      <c r="C49" s="27">
        <f>IF(B49&lt;&gt;"",IF(COUNT($A$33:A49)&lt;=$G$39,0,$G$41)+IF(COUNT($A$33:A49)&lt;=$G$40,0,$G$42),0)</f>
        <v>66666.66666666666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43693</v>
      </c>
      <c r="C50" s="27">
        <f>IF(B50&lt;&gt;"",IF(COUNT($A$33:A50)&lt;=$G$39,0,$G$41)+IF(COUNT($A$33:A50)&lt;=$G$40,0,$G$42),0)</f>
        <v>66666.66666666666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43724</v>
      </c>
      <c r="C51" s="27">
        <f>IF(B51&lt;&gt;"",IF(COUNT($A$33:A51)&lt;=$G$39,0,$G$41)+IF(COUNT($A$33:A51)&lt;=$G$40,0,$G$42),0)</f>
        <v>66666.66666666666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43754</v>
      </c>
      <c r="C52" s="27">
        <f>IF(B52&lt;&gt;"",IF(COUNT($A$33:A52)&lt;=$G$39,0,$G$41)+IF(COUNT($A$33:A52)&lt;=$G$40,0,$G$42),0)</f>
        <v>66666.66666666666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43785</v>
      </c>
      <c r="C53" s="27">
        <f>IF(B53&lt;&gt;"",IF(COUNT($A$33:A53)&lt;=$G$39,0,$G$41)+IF(COUNT($A$33:A53)&lt;=$G$40,0,$G$42),0)</f>
        <v>66666.66666666666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43815</v>
      </c>
      <c r="C54" s="27">
        <f>IF(B54&lt;&gt;"",IF(COUNT($A$33:A54)&lt;=$G$39,0,$G$41)+IF(COUNT($A$33:A54)&lt;=$G$40,0,$G$42),0)</f>
        <v>66666.66666666666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43846</v>
      </c>
      <c r="C55" s="27">
        <f>IF(B55&lt;&gt;"",IF(COUNT($A$33:A55)&lt;=$G$39,0,$G$41)+IF(COUNT($A$33:A55)&lt;=$G$40,0,$G$42),0)</f>
        <v>66666.66666666666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43877</v>
      </c>
      <c r="C56" s="27">
        <f>IF(B56&lt;&gt;"",IF(COUNT($A$33:A56)&lt;=$G$39,0,$G$41)+IF(COUNT($A$33:A56)&lt;=$G$40,0,$G$42),0)</f>
        <v>66666.66666666666</v>
      </c>
      <c r="D56" s="170">
        <f>IFERROR(DATE(YEAR(B56),MONTH(B56),1)," ")</f>
        <v>43862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43906</v>
      </c>
      <c r="C57" s="27">
        <f>IF(B57&lt;&gt;"",IF(COUNT($A$33:A57)&lt;=$G$39,0,$G$41)+IF(COUNT($A$33:A57)&lt;=$G$40,0,$G$42),0)</f>
        <v>66666.66666666666</v>
      </c>
      <c r="D57" s="170">
        <f>IFERROR(DATE(YEAR(B57),MONTH(B57),1)," ")</f>
        <v>43891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43937</v>
      </c>
      <c r="C58" s="27">
        <f>IF(B58&lt;&gt;"",IF(COUNT($A$33:A58)&lt;=$G$39,0,$G$41)+IF(COUNT($A$33:A58)&lt;=$G$40,0,$G$42),0)</f>
        <v>66666.66666666666</v>
      </c>
      <c r="D58" s="170">
        <f>IFERROR(DATE(YEAR(B58),MONTH(B58),1)," ")</f>
        <v>43922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43967</v>
      </c>
      <c r="C59" s="27">
        <f>IF(B59&lt;&gt;"",IF(COUNT($A$33:A59)&lt;=$G$39,0,$G$41)+IF(COUNT($A$33:A59)&lt;=$G$40,0,$G$42),0)</f>
        <v>66666.66666666666</v>
      </c>
      <c r="D59" s="170">
        <f>IFERROR(DATE(YEAR(B59),MONTH(B59),1)," ")</f>
        <v>43952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43998</v>
      </c>
      <c r="C60" s="27">
        <f>IF(B60&lt;&gt;"",IF(COUNT($A$33:A60)&lt;=$G$39,0,$G$41)+IF(COUNT($A$33:A60)&lt;=$G$40,0,$G$42),0)</f>
        <v>66666.66666666666</v>
      </c>
      <c r="D60" s="170">
        <f>IFERROR(DATE(YEAR(B60),MONTH(B60),1)," ")</f>
        <v>43983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44028</v>
      </c>
      <c r="C61" s="27">
        <f>IF(B61&lt;&gt;"",IF(COUNT($A$33:A61)&lt;=$G$39,0,$G$41)+IF(COUNT($A$33:A61)&lt;=$G$40,0,$G$42),0)</f>
        <v>66666.66666666666</v>
      </c>
      <c r="D61" s="170">
        <f>IFERROR(DATE(YEAR(B61),MONTH(B61),1)," ")</f>
        <v>44013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44059</v>
      </c>
      <c r="C62" s="27">
        <f>IF(B62&lt;&gt;"",IF(COUNT($A$33:A62)&lt;=$G$39,0,$G$41)+IF(COUNT($A$33:A62)&lt;=$G$40,0,$G$42),0)</f>
        <v>66666.66666666666</v>
      </c>
      <c r="D62" s="170">
        <f>IFERROR(DATE(YEAR(B62),MONTH(B62),1)," ")</f>
        <v>44044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44090</v>
      </c>
      <c r="C63" s="27">
        <f>IF(B63&lt;&gt;"",IF(COUNT($A$33:A63)&lt;=$G$39,0,$G$41)+IF(COUNT($A$33:A63)&lt;=$G$40,0,$G$42),0)</f>
        <v>66666.66666666666</v>
      </c>
      <c r="D63" s="170">
        <f>IFERROR(DATE(YEAR(B63),MONTH(B63),1)," ")</f>
        <v>44075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44120</v>
      </c>
      <c r="C64" s="27">
        <f>IF(B64&lt;&gt;"",IF(COUNT($A$33:A64)&lt;=$G$39,0,$G$41)+IF(COUNT($A$33:A64)&lt;=$G$40,0,$G$42),0)</f>
        <v>66666.66666666666</v>
      </c>
      <c r="D64" s="170">
        <f>IFERROR(DATE(YEAR(B64),MONTH(B64),1)," ")</f>
        <v>44105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44151</v>
      </c>
      <c r="C65" s="27">
        <f>IF(B65&lt;&gt;"",IF(COUNT($A$33:A65)&lt;=$G$39,0,$G$41)+IF(COUNT($A$33:A65)&lt;=$G$40,0,$G$42),0)</f>
        <v>66666.66666666666</v>
      </c>
      <c r="D65" s="170">
        <f>IFERROR(DATE(YEAR(B65),MONTH(B65),1)," ")</f>
        <v>44136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44181</v>
      </c>
      <c r="C66" s="27">
        <f>IF(B66&lt;&gt;"",IF(COUNT($A$33:A66)&lt;=$G$39,0,$G$41)+IF(COUNT($A$33:A66)&lt;=$G$40,0,$G$42),0)</f>
        <v>66666.66666666666</v>
      </c>
      <c r="D66" s="170">
        <f>IFERROR(DATE(YEAR(B66),MONTH(B66),1)," ")</f>
        <v>44166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44212</v>
      </c>
      <c r="C67" s="27">
        <f>IF(B67&lt;&gt;"",IF(COUNT($A$33:A67)&lt;=$G$39,0,$G$41)+IF(COUNT($A$33:A67)&lt;=$G$40,0,$G$42),0)</f>
        <v>66666.66666666666</v>
      </c>
      <c r="D67" s="170">
        <f>IFERROR(DATE(YEAR(B67),MONTH(B67),1)," ")</f>
        <v>44197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44243</v>
      </c>
      <c r="C68" s="27">
        <f>IF(B68&lt;&gt;"",IF(COUNT($A$33:A68)&lt;=$G$39,0,$G$41)+IF(COUNT($A$33:A68)&lt;=$G$40,0,$G$42),0)</f>
        <v>66666.66666666666</v>
      </c>
      <c r="D68" s="170">
        <f>IFERROR(DATE(YEAR(B68),MONTH(B68),1)," ")</f>
        <v>44228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207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100</v>
      </c>
      <c r="B41" s="191" t="s">
        <v>318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320</v>
      </c>
      <c r="H52" s="12" t="s">
        <v>129</v>
      </c>
      <c r="I52" s="12" t="s">
        <v>321</v>
      </c>
      <c r="AJ52" s="12"/>
    </row>
    <row r="53" spans="1:36" customHeight="1" ht="30">
      <c r="A53" s="11" t="s">
        <v>322</v>
      </c>
      <c r="B53" s="11" t="s">
        <v>323</v>
      </c>
      <c r="C53" s="11" t="s">
        <v>324</v>
      </c>
      <c r="D53" s="10" t="s">
        <v>235</v>
      </c>
      <c r="E53" s="10" t="s">
        <v>194</v>
      </c>
      <c r="F53" s="10" t="s">
        <v>254</v>
      </c>
      <c r="G53" s="10" t="s">
        <v>325</v>
      </c>
      <c r="H53" s="10" t="s">
        <v>326</v>
      </c>
      <c r="I53" s="10" t="s">
        <v>326</v>
      </c>
      <c r="AJ53" s="12"/>
    </row>
    <row r="54" spans="1:36">
      <c r="A54">
        <v>8</v>
      </c>
      <c r="B54" s="12" t="s">
        <v>327</v>
      </c>
      <c r="C54" s="12" t="s">
        <v>328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329</v>
      </c>
      <c r="C55" s="12" t="s">
        <v>328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330</v>
      </c>
      <c r="C56" s="116" t="s">
        <v>331</v>
      </c>
      <c r="D56" s="189">
        <v>930</v>
      </c>
      <c r="E56" s="189">
        <v>1</v>
      </c>
      <c r="F56" s="189">
        <v>6</v>
      </c>
      <c r="G56" s="72" t="s">
        <v>318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332</v>
      </c>
      <c r="C57" s="116" t="s">
        <v>328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333</v>
      </c>
      <c r="C58" s="116" t="s">
        <v>328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334</v>
      </c>
      <c r="C59" s="116" t="s">
        <v>331</v>
      </c>
      <c r="D59" s="189">
        <v>465</v>
      </c>
      <c r="E59" s="189">
        <v>2</v>
      </c>
      <c r="F59" s="189">
        <v>4</v>
      </c>
      <c r="G59" s="72" t="s">
        <v>318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335</v>
      </c>
      <c r="C60" s="116" t="s">
        <v>331</v>
      </c>
      <c r="D60" s="189">
        <v>465</v>
      </c>
      <c r="E60" s="189">
        <v>1</v>
      </c>
      <c r="F60" s="189">
        <v>5</v>
      </c>
      <c r="G60" s="72" t="s">
        <v>318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336</v>
      </c>
      <c r="C61" s="116" t="s">
        <v>331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337</v>
      </c>
      <c r="C62" s="116" t="s">
        <v>331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338</v>
      </c>
      <c r="C63" s="116" t="s">
        <v>331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339</v>
      </c>
      <c r="C64" s="116" t="s">
        <v>331</v>
      </c>
      <c r="D64" s="189">
        <v>930</v>
      </c>
      <c r="E64" s="189">
        <v>1</v>
      </c>
      <c r="F64" s="189">
        <v>6</v>
      </c>
      <c r="G64" s="72" t="s">
        <v>318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340</v>
      </c>
      <c r="C65" s="12" t="s">
        <v>331</v>
      </c>
      <c r="D65" s="89">
        <v>465</v>
      </c>
      <c r="E65" s="89">
        <v>2</v>
      </c>
      <c r="F65" s="89">
        <v>4</v>
      </c>
      <c r="G65" s="7" t="s">
        <v>318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341</v>
      </c>
      <c r="C66" s="12" t="s">
        <v>331</v>
      </c>
      <c r="D66" s="89">
        <v>465</v>
      </c>
      <c r="E66" s="89">
        <v>2</v>
      </c>
      <c r="F66" s="89">
        <v>4</v>
      </c>
      <c r="G66" s="7" t="s">
        <v>318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342</v>
      </c>
      <c r="C67" s="12" t="s">
        <v>331</v>
      </c>
      <c r="D67" s="89">
        <v>930</v>
      </c>
      <c r="E67" s="89">
        <v>1</v>
      </c>
      <c r="F67" s="89">
        <v>6</v>
      </c>
      <c r="G67" s="7" t="s">
        <v>318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343</v>
      </c>
      <c r="C68" s="12" t="s">
        <v>331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344</v>
      </c>
      <c r="C69" s="12" t="s">
        <v>331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345</v>
      </c>
      <c r="C70" s="12" t="s">
        <v>331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346</v>
      </c>
      <c r="C71" s="12" t="s">
        <v>328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348</v>
      </c>
      <c r="B76" s="11" t="s">
        <v>349</v>
      </c>
      <c r="C76" s="11" t="s">
        <v>172</v>
      </c>
      <c r="D76" s="11" t="s">
        <v>350</v>
      </c>
      <c r="E76" s="11" t="s">
        <v>80</v>
      </c>
      <c r="F76" s="11" t="s">
        <v>351</v>
      </c>
      <c r="G76" s="11" t="s">
        <v>352</v>
      </c>
      <c r="H76" s="11" t="s">
        <v>353</v>
      </c>
      <c r="I76" s="11" t="s">
        <v>231</v>
      </c>
      <c r="J76" s="11" t="s">
        <v>354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355</v>
      </c>
      <c r="E77" s="12" t="s">
        <v>318</v>
      </c>
      <c r="F77" s="12" t="s">
        <v>318</v>
      </c>
      <c r="G77" s="12" t="s">
        <v>356</v>
      </c>
      <c r="H77" s="12" t="s">
        <v>129</v>
      </c>
      <c r="I77" s="12" t="s">
        <v>357</v>
      </c>
      <c r="J77" s="136" t="s">
        <v>358</v>
      </c>
      <c r="K77" s="12" t="s">
        <v>318</v>
      </c>
      <c r="AJ77" s="12"/>
    </row>
    <row r="78" spans="1:36">
      <c r="A78" t="s">
        <v>318</v>
      </c>
      <c r="B78" s="176">
        <v>5</v>
      </c>
      <c r="C78" s="134" t="s">
        <v>359</v>
      </c>
      <c r="D78" s="133"/>
      <c r="E78" s="12" t="s">
        <v>360</v>
      </c>
      <c r="F78" s="12" t="s">
        <v>93</v>
      </c>
      <c r="G78" s="12" t="s">
        <v>361</v>
      </c>
      <c r="H78" s="12" t="s">
        <v>321</v>
      </c>
      <c r="I78" s="12" t="s">
        <v>362</v>
      </c>
      <c r="J78" s="70" t="s">
        <v>363</v>
      </c>
      <c r="K78" s="12" t="s">
        <v>318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172</v>
      </c>
      <c r="J79" s="70" t="s">
        <v>367</v>
      </c>
      <c r="K79" s="12" t="s">
        <v>318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369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371</v>
      </c>
      <c r="K81" s="12" t="s">
        <v>92</v>
      </c>
    </row>
    <row r="82" spans="1:36">
      <c r="B82" s="176">
        <v>40</v>
      </c>
      <c r="C82" s="12" t="s">
        <v>96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