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<sst xmlns="http://schemas.openxmlformats.org/spreadsheetml/2006/main" uniqueCount="366">
  <si>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</si>
  <si>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</si>
  <si>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</si>
  <si>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</si>
  <si>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</si>
  <si>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</si>
  <si>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</si>
  <si>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</si>
  <si>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</si>
  <si>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</si>
  <si>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</si>
  <si>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</si>
  <si>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</si>
  <si>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</si>
  <si>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</si>
  <si>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</si>
  <si>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</si>
  <si>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</si>
  <si>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</si>
  <si>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</si>
  <si>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</si>
  <si>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</si>
  <si>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</si>
  <si>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</si>
  <si>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</si>
  <si>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</si>
  <si>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</si>
  <si>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</si>
  <si>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</si>
  <si>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</si>
  <si>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</si>
  <si>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</si>
  <si>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</si>
  <si>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</si>
  <si>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</si>
  <si>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</si>
  <si>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</si>
  <si>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</si>
  <si>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</si>
  <si>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</si>
  <si>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</si>
  <si>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</si>
  <si>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</si>
  <si>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</si>
  <si>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</si>
  <si>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</si>
  <si>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</si>
  <si>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</si>
  <si>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</si>
  <si>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</si>
  <si>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</si>
  <si>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</si>
  <si>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</si>
  <si>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</si>
  <si>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</si>
  <si>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</si>
  <si>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</si>
  <si>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</si>
  <si>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</si>
  <si>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</si>
  <si>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</si>
  <si>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</si>
  <si>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</si>
  <si>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</si>
  <si>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</si>
  <si>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</si>
  <si>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</si>
  <si>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</si>
  <si>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</si>
  <si>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</si>
  <si>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</si>
  <si>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</si>
  <si>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</si>
  <si>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</si>
  <si>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</si>
  <si>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</si>
  <si>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</si>
  <si>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</si>
  <si>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</si>
  <si>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</si>
  <si>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</si>
  <si>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</si>
  <si>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</si>
  <si>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</si>
  <si>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</si>
  <si>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</si>
  <si>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</si>
  <si>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</si>
  <si>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</si>
  <si>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Wheat</t>
  </si>
  <si>
    <t>Shop_certified variety</t>
  </si>
  <si>
    <t>Yes Inorganic fertizers</t>
  </si>
  <si>
    <t>Yes</t>
  </si>
  <si>
    <t>No</t>
  </si>
  <si>
    <t>February</t>
  </si>
  <si>
    <t>Maize</t>
  </si>
  <si>
    <t>Shop_common variety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</si>
  <si>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</si>
  <si>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</si>
  <si>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</si>
  <si>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</si>
  <si>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</si>
  <si>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</si>
  <si>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</si>
  <si>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</si>
  <si>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</si>
  <si>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</si>
  <si>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</si>
  <si>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</si>
  <si>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</si>
  <si>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</si>
  <si>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</si>
  <si>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</si>
  <si>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</si>
  <si>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</si>
  <si>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</si>
  <si>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</si>
  <si>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cattle trading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</si>
  <si>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</si>
  <si>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</si>
  <si>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</si>
  <si>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</si>
  <si>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</si>
  <si>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</si>
  <si>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</si>
  <si>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</si>
  <si>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</si>
  <si>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</si>
  <si>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</si>
  <si>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</si>
  <si>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</si>
  <si>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</si>
  <si>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</si>
  <si>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</si>
  <si>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</si>
  <si>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</si>
  <si>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</si>
  <si>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</si>
  <si>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</si>
  <si>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</si>
  <si>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</si>
  <si>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</si>
  <si>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</si>
  <si>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</si>
  <si>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</si>
  <si>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</si>
  <si>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</si>
  <si>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</si>
  <si>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</si>
  <si>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November</t>
  </si>
  <si>
    <t>December</t>
  </si>
  <si>
    <t>Loan info</t>
  </si>
  <si>
    <t>Branch ID</t>
  </si>
  <si>
    <t>Submission date</t>
  </si>
  <si>
    <t>2018/2/7</t>
  </si>
  <si>
    <t>Loan terms</t>
  </si>
  <si>
    <t>Expected disbursement date</t>
  </si>
  <si>
    <t>Expected first repayment date</t>
  </si>
  <si>
    <t>2018/3/7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</si>
  <si>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</si>
  <si>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</si>
  <si>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</si>
  <si>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</si>
  <si>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</si>
  <si>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</si>
  <si>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</si>
  <si>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</si>
  <si>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</si>
  <si>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</si>
  <si>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</si>
  <si>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</si>
  <si>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</si>
  <si>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</si>
  <si>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</si>
  <si>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</si>
  <si>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</si>
  <si>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</si>
  <si>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</si>
  <si>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</si>
  <si>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</si>
  <si>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</si>
  <si>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</si>
  <si>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</si>
  <si>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</si>
  <si>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</si>
  <si>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</si>
  <si>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</si>
  <si>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</si>
  <si>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</si>
  <si>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</si>
  <si>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</si>
  <si>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</si>
  <si>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</si>
  <si>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</si>
  <si>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</si>
  <si>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</si>
  <si>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</si>
  <si>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</si>
  <si>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</si>
  <si>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</si>
  <si>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</si>
  <si>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</si>
  <si>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</si>
  <si>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</si>
  <si>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</si>
  <si>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</si>
  <si>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</si>
  <si>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</si>
  <si>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</si>
  <si>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</si>
  <si>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</si>
  <si>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</si>
  <si>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</si>
  <si>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</si>
  <si>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</si>
  <si>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</si>
  <si>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</si>
  <si>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</si>
  <si>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</si>
  <si>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</si>
  <si>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</si>
  <si>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</si>
  <si>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</si>
  <si>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</si>
  <si>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</si>
  <si>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</si>
  <si>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</si>
  <si>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</si>
  <si>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</si>
  <si>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</si>
  <si>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</si>
  <si>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</si>
  <si>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</si>
  <si>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</si>
  <si>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</si>
  <si>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</si>
  <si>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</si>
  <si>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</si>
  <si>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</si>
  <si>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</si>
  <si>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</si>
  <si>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</si>
  <si>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</si>
  <si>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</si>
  <si>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</si>
  <si>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</si>
  <si>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</si>
  <si>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</si>
  <si>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</si>
  <si>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</si>
  <si>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</si>
  <si>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</si>
  <si>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</si>
  <si>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</si>
  <si>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</si>
  <si>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</si>
  <si>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</si>
  <si>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</si>
  <si>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</si>
  <si>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</si>
  <si>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</si>
  <si>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</si>
  <si>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</si>
  <si>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</si>
  <si>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</si>
  <si>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</si>
  <si>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</si>
  <si>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</si>
  <si>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</si>
  <si>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</si>
  <si>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</si>
  <si>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</si>
  <si>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</si>
  <si>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</si>
  <si>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</si>
  <si>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</si>
  <si>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</si>
  <si>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</si>
  <si>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</si>
  <si>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</si>
  <si>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</si>
  <si>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</si>
  <si>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</si>
  <si>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</si>
  <si>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</si>
  <si>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</si>
  <si>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</si>
  <si>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</si>
  <si>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</si>
  <si>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</si>
  <si>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</si>
  <si>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</si>
  <si>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</si>
  <si>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</si>
  <si>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</si>
  <si>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</si>
  <si>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</si>
  <si>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</si>
  <si>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</si>
  <si>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</si>
  <si>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</si>
  <si>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</si>
  <si>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</si>
  <si>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</si>
  <si>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</si>
  <si>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</si>
  <si>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</si>
  <si>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</si>
  <si>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</si>
  <si>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</si>
  <si>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</si>
  <si>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</si>
  <si>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</si>
  <si>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</si>
  <si>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</si>
  <si>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</si>
  <si>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</si>
  <si>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</si>
  <si>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</si>
  <si>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</si>
  <si>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</si>
  <si>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</si>
  <si>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</si>
  <si>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</si>
  <si>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</si>
  <si>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</si>
  <si>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</si>
  <si>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</si>
  <si>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</si>
  <si>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</si>
  <si>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</si>
  <si>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</si>
  <si>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</si>
  <si>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</si>
  <si>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</si>
  <si>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</si>
  <si>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</si>
  <si>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</si>
  <si>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</si>
  <si>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</si>
  <si>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</si>
  <si>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</si>
  <si>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</si>
  <si>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</si>
  <si>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</si>
  <si>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</si>
  <si>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</si>
  <si>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</si>
  <si>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</si>
  <si>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</si>
  <si>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</si>
  <si>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</si>
  <si>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</si>
  <si>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</si>
  <si>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</si>
  <si>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Yes both manure and inorganic</t>
  </si>
  <si>
    <t>Yes without the use of a pump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</si>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</sst>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July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Wheat,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Goat</v>
      </c>
    </row>
    <row r="8" spans="1:7">
      <c r="B8" s="1" t="s">
        <v>4</v>
      </c>
      <c r="C8" t="str">
        <f>IF(Inputs!B29="","None",Inputs!B29)</f>
        <v>cattle trading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0.3201800076245465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2018</v>
      </c>
    </row>
    <row r="13" spans="1:7">
      <c r="B13" s="1" t="s">
        <v>8</v>
      </c>
      <c r="C13" s="67">
        <f>IFERROR(Output!B107/Output!B101,"")</f>
        <v>0.02933844678811122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610922.0466308105</v>
      </c>
    </row>
    <row r="18" spans="1:7">
      <c r="B18" s="1" t="s">
        <v>12</v>
      </c>
      <c r="C18" s="36">
        <f>MIN(Output!B6:M6)</f>
        <v>-191254.0025906006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May 2018</v>
      </c>
    </row>
    <row r="20" spans="1:7">
      <c r="B20" s="1" t="s">
        <v>14</v>
      </c>
      <c r="C20" s="36">
        <f>MAX(Output!B6:M6)</f>
        <v>492182.4040742825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1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1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213445.4698511921</v>
      </c>
      <c r="C6" s="51">
        <f>C30-C88</f>
        <v>-50254.00259060058</v>
      </c>
      <c r="D6" s="51">
        <f>D30-D88</f>
        <v>-50254.00259060058</v>
      </c>
      <c r="E6" s="51">
        <f>E30-E88</f>
        <v>-191254.0025906006</v>
      </c>
      <c r="F6" s="51">
        <f>F30-F88</f>
        <v>-50254.00259060058</v>
      </c>
      <c r="G6" s="51">
        <f>G30-G88</f>
        <v>249663.0967150703</v>
      </c>
      <c r="H6" s="51">
        <f>H30-H88</f>
        <v>492182.4040742825</v>
      </c>
      <c r="I6" s="51">
        <f>I30-I88</f>
        <v>-33454.00259060058</v>
      </c>
      <c r="J6" s="51">
        <f>J30-J88</f>
        <v>-33454.00259060058</v>
      </c>
      <c r="K6" s="51">
        <f>K30-K88</f>
        <v>-168454.0025906006</v>
      </c>
      <c r="L6" s="51">
        <f>L30-L88</f>
        <v>-33454.00259060058</v>
      </c>
      <c r="M6" s="51">
        <f>M30-M88</f>
        <v>266463.0967150703</v>
      </c>
      <c r="N6" s="51">
        <f>N30-N88</f>
        <v>213445.4698511921</v>
      </c>
      <c r="O6" s="51">
        <f>O30-O88</f>
        <v>-50254.00259060058</v>
      </c>
      <c r="P6" s="51">
        <f>P30-P88</f>
        <v>-50254.00259060058</v>
      </c>
      <c r="Q6" s="51">
        <f>Q30-Q88</f>
        <v>-191254.0025906006</v>
      </c>
      <c r="R6" s="51">
        <f>R30-R88</f>
        <v>-50254.00259060058</v>
      </c>
      <c r="S6" s="51">
        <f>S30-S88</f>
        <v>249663.0967150703</v>
      </c>
      <c r="T6" s="51">
        <f>T30-T88</f>
        <v>492182.4040742825</v>
      </c>
      <c r="U6" s="51">
        <f>U30-U88</f>
        <v>-33454.00259060058</v>
      </c>
      <c r="V6" s="51">
        <f>V30-V88</f>
        <v>-33454.00259060058</v>
      </c>
      <c r="W6" s="51">
        <f>W30-W88</f>
        <v>-168454.0025906006</v>
      </c>
      <c r="X6" s="51">
        <f>X30-X88</f>
        <v>-33454.00259060058</v>
      </c>
      <c r="Y6" s="51">
        <f>Y30-Y88</f>
        <v>266463.0967150703</v>
      </c>
      <c r="Z6" s="51">
        <f>SUMIF($B$13:$Y$13,"Yes",B6:Y6)</f>
        <v>824367.5164820026</v>
      </c>
      <c r="AA6" s="51">
        <f>AA30-AA88</f>
        <v>610922.0466308102</v>
      </c>
      <c r="AB6" s="51">
        <f>AB30-AB88</f>
        <v>1221844.093261622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>
        <f>IF(ISERROR(VLOOKUP(MONTH(K5),Inputs!$D$66:$D$71,1,0)),"",INDEX(Inputs!$B$66:$B$71,MATCH(MONTH(Output!K5),Inputs!$D$66:$D$71,0))-INDEX(Inputs!$C$66:$C$71,MATCH(MONTH(Output!K5),Inputs!$D$66:$D$71,0)))</f>
        <v>0</v>
      </c>
      <c r="L7" s="80">
        <f>IF(ISERROR(VLOOKUP(MONTH(L5),Inputs!$D$66:$D$71,1,0)),"",INDEX(Inputs!$B$66:$B$71,MATCH(MONTH(Output!L5),Inputs!$D$66:$D$71,0))-INDEX(Inputs!$C$66:$C$71,MATCH(MONTH(Output!L5),Inputs!$D$66:$D$71,0)))</f>
        <v>0</v>
      </c>
      <c r="M7" s="80">
        <f>IF(ISERROR(VLOOKUP(MONTH(M5),Inputs!$D$66:$D$71,1,0)),"",INDEX(Inputs!$B$66:$B$71,MATCH(MONTH(Output!M5),Inputs!$D$66:$D$71,0))-INDEX(Inputs!$C$66:$C$71,MATCH(MONTH(Output!M5),Inputs!$D$66:$D$71,0)))</f>
        <v>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>
        <f>IF(ISERROR(VLOOKUP(MONTH(W5),Inputs!$D$66:$D$71,1,0)),"",INDEX(Inputs!$B$66:$B$71,MATCH(MONTH(Output!W5),Inputs!$D$66:$D$71,0))-INDEX(Inputs!$C$66:$C$71,MATCH(MONTH(Output!W5),Inputs!$D$66:$D$71,0)))</f>
        <v>0</v>
      </c>
      <c r="X7" s="80">
        <f>IF(ISERROR(VLOOKUP(MONTH(X5),Inputs!$D$66:$D$71,1,0)),"",INDEX(Inputs!$B$66:$B$71,MATCH(MONTH(Output!X5),Inputs!$D$66:$D$71,0))-INDEX(Inputs!$C$66:$C$71,MATCH(MONTH(Output!X5),Inputs!$D$66:$D$71,0)))</f>
        <v>0</v>
      </c>
      <c r="Y7" s="80">
        <f>IF(ISERROR(VLOOKUP(MONTH(Y5),Inputs!$D$66:$D$71,1,0)),"",INDEX(Inputs!$B$66:$B$71,MATCH(MONTH(Output!Y5),Inputs!$D$66:$D$71,0))-INDEX(Inputs!$C$66:$C$71,MATCH(MONTH(Output!Y5),Inputs!$D$66:$D$71,0)))</f>
        <v>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513445.4698511921</v>
      </c>
      <c r="C11" s="80">
        <f>C6+C9-C10</f>
        <v>-80254.00259060058</v>
      </c>
      <c r="D11" s="80">
        <f>D6+D9-D10</f>
        <v>-80254.00259060058</v>
      </c>
      <c r="E11" s="80">
        <f>E6+E9-E10</f>
        <v>-221254.0025906006</v>
      </c>
      <c r="F11" s="80">
        <f>F6+F9-F10</f>
        <v>-80254.00259060058</v>
      </c>
      <c r="G11" s="80">
        <f>G6+G9-G10</f>
        <v>219663.0967150703</v>
      </c>
      <c r="H11" s="80">
        <f>H6+H9-H10</f>
        <v>462182.4040742825</v>
      </c>
      <c r="I11" s="80">
        <f>I6+I9-I10</f>
        <v>-63454.00259060058</v>
      </c>
      <c r="J11" s="80">
        <f>J6+J9-J10</f>
        <v>-63454.00259060058</v>
      </c>
      <c r="K11" s="80">
        <f>K6+K9-K10</f>
        <v>-198454.0025906006</v>
      </c>
      <c r="L11" s="80">
        <f>L6+L9-L10</f>
        <v>-63454.00259060058</v>
      </c>
      <c r="M11" s="80">
        <f>M6+M9-M10</f>
        <v>236463.0967150703</v>
      </c>
      <c r="N11" s="80">
        <f>N6+N9-N10</f>
        <v>183445.4698511921</v>
      </c>
      <c r="O11" s="80">
        <f>O6+O9-O10</f>
        <v>-50254.00259060058</v>
      </c>
      <c r="P11" s="80">
        <f>P6+P9-P10</f>
        <v>-50254.00259060058</v>
      </c>
      <c r="Q11" s="80">
        <f>Q6+Q9-Q10</f>
        <v>-191254.0025906006</v>
      </c>
      <c r="R11" s="80">
        <f>R6+R9-R10</f>
        <v>-50254.00259060058</v>
      </c>
      <c r="S11" s="80">
        <f>S6+S9-S10</f>
        <v>249663.0967150703</v>
      </c>
      <c r="T11" s="80">
        <f>T6+T9-T10</f>
        <v>492182.4040742825</v>
      </c>
      <c r="U11" s="80">
        <f>U6+U9-U10</f>
        <v>-33454.00259060058</v>
      </c>
      <c r="V11" s="80">
        <f>V6+V9-V10</f>
        <v>-33454.00259060058</v>
      </c>
      <c r="W11" s="80">
        <f>W6+W9-W10</f>
        <v>-168454.0025906006</v>
      </c>
      <c r="X11" s="80">
        <f>X6+X9-X10</f>
        <v>-33454.00259060058</v>
      </c>
      <c r="Y11" s="80">
        <f>Y6+Y9-Y10</f>
        <v>266463.0967150703</v>
      </c>
      <c r="Z11" s="85">
        <f>SUMIF($B$13:$Y$13,"Yes",B11:Y11)</f>
        <v>764367.5164820026</v>
      </c>
      <c r="AA11" s="80">
        <f>SUM(B11:M11)</f>
        <v>580922.0466308105</v>
      </c>
      <c r="AB11" s="46">
        <f>SUM(B11:Y11)</f>
        <v>1161844.093261621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0.06476803248865119</v>
      </c>
      <c r="D12" s="82">
        <f>IF(D13="Yes",IF(SUM($B$10:D10)/(SUM($B$6:D6)+SUM($B$9:D9))&lt;0,999.99,SUM($B$10:D10)/(SUM($B$6:D6)+SUM($B$9:D9))),"")</f>
        <v>0.145300451359991</v>
      </c>
      <c r="E12" s="82">
        <f>IF(E13="Yes",IF(SUM($B$10:E10)/(SUM($B$6:E6)+SUM($B$9:E9))&lt;0,999.99,SUM($B$10:E10)/(SUM($B$6:E6)+SUM($B$9:E9))),"")</f>
        <v>0.4059842766609661</v>
      </c>
      <c r="F12" s="82">
        <f>IF(F13="Yes",IF(SUM($B$10:F10)/(SUM($B$6:F6)+SUM($B$9:F9))&lt;0,999.99,SUM($B$10:F10)/(SUM($B$6:F6)+SUM($B$9:F9))),"")</f>
        <v>0.6999963737728936</v>
      </c>
      <c r="G12" s="82">
        <f>IF(G13="Yes",IF(SUM($B$10:G10)/(SUM($B$6:G6)+SUM($B$9:G9))&lt;0,999.99,SUM($B$10:G10)/(SUM($B$6:G6)+SUM($B$9:G9))),"")</f>
        <v>0.3562162232271371</v>
      </c>
      <c r="H12" s="82">
        <f>IF(H13="Yes",IF(SUM($B$10:H10)/(SUM($B$6:H6)+SUM($B$9:H9))&lt;0,999.99,SUM($B$10:H10)/(SUM($B$6:H6)+SUM($B$9:H9))),"")</f>
        <v>0.1970928885920403</v>
      </c>
      <c r="I12" s="82">
        <f>IF(I13="Yes",IF(SUM($B$10:I10)/(SUM($B$6:I6)+SUM($B$9:I9))&lt;0,999.99,SUM($B$10:I10)/(SUM($B$6:I6)+SUM($B$9:I9))),"")</f>
        <v>0.2386849257966631</v>
      </c>
      <c r="J12" s="82">
        <f>IF(J13="Yes",IF(SUM($B$10:J10)/(SUM($B$6:J6)+SUM($B$9:J9))&lt;0,999.99,SUM($B$10:J10)/(SUM($B$6:J6)+SUM($B$9:J9))),"")</f>
        <v>0.283564946096591</v>
      </c>
      <c r="K12" s="82">
        <f>IF(K13="Yes",IF(SUM($B$10:K10)/(SUM($B$6:K6)+SUM($B$9:K9))&lt;0,999.99,SUM($B$10:K10)/(SUM($B$6:K6)+SUM($B$9:K9))),"")</f>
        <v>0.3982812232776664</v>
      </c>
      <c r="L12" s="82">
        <f>IF(L13="Yes",IF(SUM($B$10:L10)/(SUM($B$6:L6)+SUM($B$9:L9))&lt;0,999.99,SUM($B$10:L10)/(SUM($B$6:L6)+SUM($B$9:L9))),"")</f>
        <v>0.4655067635250058</v>
      </c>
      <c r="M12" s="82">
        <f>IF(M13="Yes",IF(SUM($B$10:M10)/(SUM($B$6:M6)+SUM($B$9:M9))&lt;0,999.99,SUM($B$10:M10)/(SUM($B$6:M6)+SUM($B$9:M9))),"")</f>
        <v>0.3622702965863625</v>
      </c>
      <c r="N12" s="82">
        <f>IF(N13="Yes",IF(SUM($B$10:N10)/(SUM($B$6:N6)+SUM($B$9:N9))&lt;0,999.99,SUM($B$10:N10)/(SUM($B$6:N6)+SUM($B$9:N9))),"")</f>
        <v>0.3201800076245465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Wheat</v>
      </c>
      <c r="B18" s="36">
        <f>N18</f>
        <v>327509.4724417927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327509.4724417927</v>
      </c>
      <c r="H18" s="36">
        <f>T18</f>
        <v>327509.4724417927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327509.4724417927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327509.4724417927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327509.4724417927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327509.4724417927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327509.4724417927</v>
      </c>
      <c r="Z18" s="36">
        <f>SUMIF($B$13:$Y$13,"Yes",B18:Y18)</f>
        <v>1637547.362208963</v>
      </c>
      <c r="AA18" s="36">
        <f>SUM(B18:M18)</f>
        <v>1310037.889767171</v>
      </c>
      <c r="AB18" s="36">
        <f>SUM(B18:Y18)</f>
        <v>2620075.779534341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272676.9342230905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272676.9342230905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272676.9342230905</v>
      </c>
      <c r="AA19" s="36">
        <f>SUM(B19:M19)</f>
        <v>272676.9342230905</v>
      </c>
      <c r="AB19" s="36">
        <f>SUM(B19:Y19)</f>
        <v>545353.8684461809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45999.99999999999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12777.77777777778</v>
      </c>
      <c r="C24" s="36">
        <f>IFERROR(Calculations!$P14/12,"")</f>
        <v>12777.77777777778</v>
      </c>
      <c r="D24" s="36">
        <f>IFERROR(Calculations!$P14/12,"")</f>
        <v>12777.77777777778</v>
      </c>
      <c r="E24" s="36">
        <f>IFERROR(Calculations!$P14/12,"")</f>
        <v>12777.77777777778</v>
      </c>
      <c r="F24" s="36">
        <f>IFERROR(Calculations!$P14/12,"")</f>
        <v>12777.77777777778</v>
      </c>
      <c r="G24" s="36">
        <f>IFERROR(Calculations!$P14/12,"")</f>
        <v>12777.77777777778</v>
      </c>
      <c r="H24" s="36">
        <f>IFERROR(Calculations!$P14/12,"")</f>
        <v>12777.77777777778</v>
      </c>
      <c r="I24" s="36">
        <f>IFERROR(Calculations!$P14/12,"")</f>
        <v>12777.77777777778</v>
      </c>
      <c r="J24" s="36">
        <f>IFERROR(Calculations!$P14/12,"")</f>
        <v>12777.77777777778</v>
      </c>
      <c r="K24" s="36">
        <f>IFERROR(Calculations!$P14/12,"")</f>
        <v>12777.77777777778</v>
      </c>
      <c r="L24" s="36">
        <f>IFERROR(Calculations!$P14/12,"")</f>
        <v>12777.77777777778</v>
      </c>
      <c r="M24" s="36">
        <f>IFERROR(Calculations!$P14/12,"")</f>
        <v>12777.77777777778</v>
      </c>
      <c r="N24" s="36">
        <f>IFERROR(Calculations!$P14/12,"")</f>
        <v>12777.77777777778</v>
      </c>
      <c r="O24" s="36">
        <f>IFERROR(Calculations!$P14/12,"")</f>
        <v>12777.77777777778</v>
      </c>
      <c r="P24" s="36">
        <f>IFERROR(Calculations!$P14/12,"")</f>
        <v>12777.77777777778</v>
      </c>
      <c r="Q24" s="36">
        <f>IFERROR(Calculations!$P14/12,"")</f>
        <v>12777.77777777778</v>
      </c>
      <c r="R24" s="36">
        <f>IFERROR(Calculations!$P14/12,"")</f>
        <v>12777.77777777778</v>
      </c>
      <c r="S24" s="36">
        <f>IFERROR(Calculations!$P14/12,"")</f>
        <v>12777.77777777778</v>
      </c>
      <c r="T24" s="36">
        <f>IFERROR(Calculations!$P14/12,"")</f>
        <v>12777.77777777778</v>
      </c>
      <c r="U24" s="36">
        <f>IFERROR(Calculations!$P14/12,"")</f>
        <v>12777.77777777778</v>
      </c>
      <c r="V24" s="36">
        <f>IFERROR(Calculations!$P14/12,"")</f>
        <v>12777.77777777778</v>
      </c>
      <c r="W24" s="36">
        <f>IFERROR(Calculations!$P14/12,"")</f>
        <v>12777.77777777778</v>
      </c>
      <c r="X24" s="36">
        <f>IFERROR(Calculations!$P14/12,"")</f>
        <v>12777.77777777778</v>
      </c>
      <c r="Y24" s="36">
        <f>IFERROR(Calculations!$P14/12,"")</f>
        <v>12777.77777777778</v>
      </c>
      <c r="Z24" s="36">
        <f>SUMIF($B$13:$Y$13,"Yes",B24:Y24)</f>
        <v>166111.1111111111</v>
      </c>
      <c r="AA24" s="36">
        <f>SUM(B24:M24)</f>
        <v>153333.3333333333</v>
      </c>
      <c r="AB24" s="46">
        <f>SUM(B24:Y24)</f>
        <v>306666.6666666666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2500</v>
      </c>
      <c r="C25" s="36">
        <f>IFERROR(Calculations!$P15/12,"")</f>
        <v>2500</v>
      </c>
      <c r="D25" s="36">
        <f>IFERROR(Calculations!$P15/12,"")</f>
        <v>2500</v>
      </c>
      <c r="E25" s="36">
        <f>IFERROR(Calculations!$P15/12,"")</f>
        <v>2500</v>
      </c>
      <c r="F25" s="36">
        <f>IFERROR(Calculations!$P15/12,"")</f>
        <v>2500</v>
      </c>
      <c r="G25" s="36">
        <f>IFERROR(Calculations!$P15/12,"")</f>
        <v>2500</v>
      </c>
      <c r="H25" s="36">
        <f>IFERROR(Calculations!$P15/12,"")</f>
        <v>2500</v>
      </c>
      <c r="I25" s="36">
        <f>IFERROR(Calculations!$P15/12,"")</f>
        <v>2500</v>
      </c>
      <c r="J25" s="36">
        <f>IFERROR(Calculations!$P15/12,"")</f>
        <v>2500</v>
      </c>
      <c r="K25" s="36">
        <f>IFERROR(Calculations!$P15/12,"")</f>
        <v>2500</v>
      </c>
      <c r="L25" s="36">
        <f>IFERROR(Calculations!$P15/12,"")</f>
        <v>2500</v>
      </c>
      <c r="M25" s="36">
        <f>IFERROR(Calculations!$P15/12,"")</f>
        <v>2500</v>
      </c>
      <c r="N25" s="36">
        <f>IFERROR(Calculations!$P15/12,"")</f>
        <v>2500</v>
      </c>
      <c r="O25" s="36">
        <f>IFERROR(Calculations!$P15/12,"")</f>
        <v>2500</v>
      </c>
      <c r="P25" s="36">
        <f>IFERROR(Calculations!$P15/12,"")</f>
        <v>2500</v>
      </c>
      <c r="Q25" s="36">
        <f>IFERROR(Calculations!$P15/12,"")</f>
        <v>2500</v>
      </c>
      <c r="R25" s="36">
        <f>IFERROR(Calculations!$P15/12,"")</f>
        <v>2500</v>
      </c>
      <c r="S25" s="36">
        <f>IFERROR(Calculations!$P15/12,"")</f>
        <v>2500</v>
      </c>
      <c r="T25" s="36">
        <f>IFERROR(Calculations!$P15/12,"")</f>
        <v>2500</v>
      </c>
      <c r="U25" s="36">
        <f>IFERROR(Calculations!$P15/12,"")</f>
        <v>2500</v>
      </c>
      <c r="V25" s="36">
        <f>IFERROR(Calculations!$P15/12,"")</f>
        <v>2500</v>
      </c>
      <c r="W25" s="36">
        <f>IFERROR(Calculations!$P15/12,"")</f>
        <v>2500</v>
      </c>
      <c r="X25" s="36">
        <f>IFERROR(Calculations!$P15/12,"")</f>
        <v>2500</v>
      </c>
      <c r="Y25" s="36">
        <f>IFERROR(Calculations!$P15/12,"")</f>
        <v>2500</v>
      </c>
      <c r="Z25" s="36">
        <f>SUMIF($B$13:$Y$13,"Yes",B25:Y25)</f>
        <v>32500</v>
      </c>
      <c r="AA25" s="36">
        <f>SUM(B25:M25)</f>
        <v>30000</v>
      </c>
      <c r="AB25" s="46">
        <f>SUM(B25:Y25)</f>
        <v>60000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9000</v>
      </c>
      <c r="C29" s="37">
        <f>Inputs!$B$30</f>
        <v>9000</v>
      </c>
      <c r="D29" s="37">
        <f>Inputs!$B$30</f>
        <v>9000</v>
      </c>
      <c r="E29" s="37">
        <f>Inputs!$B$30</f>
        <v>9000</v>
      </c>
      <c r="F29" s="37">
        <f>Inputs!$B$30</f>
        <v>9000</v>
      </c>
      <c r="G29" s="37">
        <f>Inputs!$B$30</f>
        <v>9000</v>
      </c>
      <c r="H29" s="37">
        <f>Inputs!$B$30</f>
        <v>9000</v>
      </c>
      <c r="I29" s="37">
        <f>Inputs!$B$30</f>
        <v>9000</v>
      </c>
      <c r="J29" s="37">
        <f>Inputs!$B$30</f>
        <v>9000</v>
      </c>
      <c r="K29" s="37">
        <f>Inputs!$B$30</f>
        <v>9000</v>
      </c>
      <c r="L29" s="37">
        <f>Inputs!$B$30</f>
        <v>9000</v>
      </c>
      <c r="M29" s="37">
        <f>Inputs!$B$30</f>
        <v>9000</v>
      </c>
      <c r="N29" s="37">
        <f>Inputs!$B$30</f>
        <v>9000</v>
      </c>
      <c r="O29" s="37">
        <f>Inputs!$B$30</f>
        <v>9000</v>
      </c>
      <c r="P29" s="37">
        <f>Inputs!$B$30</f>
        <v>9000</v>
      </c>
      <c r="Q29" s="37">
        <f>Inputs!$B$30</f>
        <v>9000</v>
      </c>
      <c r="R29" s="37">
        <f>Inputs!$B$30</f>
        <v>9000</v>
      </c>
      <c r="S29" s="37">
        <f>Inputs!$B$30</f>
        <v>9000</v>
      </c>
      <c r="T29" s="37">
        <f>Inputs!$B$30</f>
        <v>9000</v>
      </c>
      <c r="U29" s="37">
        <f>Inputs!$B$30</f>
        <v>9000</v>
      </c>
      <c r="V29" s="37">
        <f>Inputs!$B$30</f>
        <v>9000</v>
      </c>
      <c r="W29" s="37">
        <f>Inputs!$B$30</f>
        <v>9000</v>
      </c>
      <c r="X29" s="37">
        <f>Inputs!$B$30</f>
        <v>9000</v>
      </c>
      <c r="Y29" s="37">
        <f>Inputs!$B$30</f>
        <v>9000</v>
      </c>
      <c r="Z29" s="37">
        <f>SUMIF($B$13:$Y$13,"Yes",B29:Y29)</f>
        <v>117000</v>
      </c>
      <c r="AA29" s="37">
        <f>SUM(B29:M29)</f>
        <v>108000</v>
      </c>
      <c r="AB29" s="37">
        <f>SUM(B29:Y29)</f>
        <v>216000</v>
      </c>
    </row>
    <row r="30" spans="1:30" customHeight="1" ht="15.75">
      <c r="A30" s="1" t="s">
        <v>37</v>
      </c>
      <c r="B30" s="19">
        <f>SUM(B18:B29)</f>
        <v>351787.2502195704</v>
      </c>
      <c r="C30" s="19">
        <f>SUM(C18:C29)</f>
        <v>24277.77777777778</v>
      </c>
      <c r="D30" s="19">
        <f>SUM(D18:D29)</f>
        <v>24277.77777777778</v>
      </c>
      <c r="E30" s="19">
        <f>SUM(E18:E29)</f>
        <v>24277.77777777778</v>
      </c>
      <c r="F30" s="19">
        <f>SUM(F18:F29)</f>
        <v>24277.77777777778</v>
      </c>
      <c r="G30" s="19">
        <f>SUM(G18:G29)</f>
        <v>351787.2502195704</v>
      </c>
      <c r="H30" s="19">
        <f>SUM(H18:H29)</f>
        <v>624464.1844426609</v>
      </c>
      <c r="I30" s="19">
        <f>SUM(I18:I29)</f>
        <v>24277.77777777778</v>
      </c>
      <c r="J30" s="19">
        <f>SUM(J18:J29)</f>
        <v>24277.77777777778</v>
      </c>
      <c r="K30" s="19">
        <f>SUM(K18:K29)</f>
        <v>24277.77777777778</v>
      </c>
      <c r="L30" s="19">
        <f>SUM(L18:L29)</f>
        <v>24277.77777777778</v>
      </c>
      <c r="M30" s="19">
        <f>SUM(M18:M29)</f>
        <v>351787.2502195704</v>
      </c>
      <c r="N30" s="19">
        <f>SUM(N18:N29)</f>
        <v>351787.2502195704</v>
      </c>
      <c r="O30" s="19">
        <f>SUM(O18:O29)</f>
        <v>24277.77777777778</v>
      </c>
      <c r="P30" s="19">
        <f>SUM(P18:P29)</f>
        <v>24277.77777777778</v>
      </c>
      <c r="Q30" s="19">
        <f>SUM(Q18:Q29)</f>
        <v>24277.77777777778</v>
      </c>
      <c r="R30" s="19">
        <f>SUM(R18:R29)</f>
        <v>24277.77777777778</v>
      </c>
      <c r="S30" s="19">
        <f>SUM(S18:S29)</f>
        <v>351787.2502195704</v>
      </c>
      <c r="T30" s="19">
        <f>SUM(T18:T29)</f>
        <v>624464.1844426609</v>
      </c>
      <c r="U30" s="19">
        <f>SUM(U18:U29)</f>
        <v>24277.77777777778</v>
      </c>
      <c r="V30" s="19">
        <f>SUM(V18:V29)</f>
        <v>24277.77777777778</v>
      </c>
      <c r="W30" s="19">
        <f>SUM(W18:W29)</f>
        <v>24277.77777777778</v>
      </c>
      <c r="X30" s="19">
        <f>SUM(X18:X29)</f>
        <v>24277.77777777778</v>
      </c>
      <c r="Y30" s="19">
        <f>SUM(Y18:Y29)</f>
        <v>351787.2502195704</v>
      </c>
      <c r="Z30" s="19">
        <f>SUMIF($B$13:$Y$13,"Yes",B30:Y30)</f>
        <v>2225835.407543165</v>
      </c>
      <c r="AA30" s="19">
        <f>SUM(B30:M30)</f>
        <v>1874048.157323594</v>
      </c>
      <c r="AB30" s="19">
        <f>SUM(B30:Y30)</f>
        <v>3748096.31464719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Wheat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63810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57750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63810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57750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185370</v>
      </c>
      <c r="AA42" s="36">
        <f>SUM(B42:M42)</f>
        <v>121560</v>
      </c>
      <c r="AB42" s="36">
        <f>SUM(B42:Y42)</f>
        <v>243120</v>
      </c>
    </row>
    <row r="43" spans="1:30" hidden="true" outlineLevel="1">
      <c r="A43" s="181" t="str">
        <f>Calculations!$A$4</f>
        <v>Wheat</v>
      </c>
      <c r="B43" s="36">
        <f>N43</f>
        <v>57750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57750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57750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57750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173250</v>
      </c>
      <c r="AA43" s="36">
        <f>SUM(B43:M43)</f>
        <v>115500</v>
      </c>
      <c r="AB43" s="36">
        <f>SUM(B43:Y43)</f>
        <v>231000</v>
      </c>
    </row>
    <row r="44" spans="1:30" hidden="true" outlineLevel="1">
      <c r="A44" s="181" t="str">
        <f>Calculations!$A$5</f>
        <v>Maize</v>
      </c>
      <c r="B44" s="36">
        <f>N44</f>
        <v>6060.000000000001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6060.000000000001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12120</v>
      </c>
      <c r="AA44" s="36">
        <f>SUM(B44:M44)</f>
        <v>6060.000000000001</v>
      </c>
      <c r="AB44" s="36">
        <f>SUM(B44:Y44)</f>
        <v>12120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141000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135000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141000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135000</v>
      </c>
      <c r="X48" s="46">
        <f>SUM(X49:X53)</f>
        <v>0</v>
      </c>
      <c r="Y48" s="46">
        <f>SUM(Y49:Y53)</f>
        <v>0</v>
      </c>
      <c r="Z48" s="46">
        <f>SUMIF($B$13:$Y$13,"Yes",B48:Y48)</f>
        <v>276000</v>
      </c>
      <c r="AA48" s="46">
        <f>SUM(B48:M48)</f>
        <v>276000</v>
      </c>
      <c r="AB48" s="46">
        <f>SUM(B48:Y48)</f>
        <v>552000</v>
      </c>
    </row>
    <row r="49" spans="1:30" hidden="true" outlineLevel="1">
      <c r="A49" s="181" t="str">
        <f>Calculations!$A$4</f>
        <v>Wheat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135000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135000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135000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135000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270000</v>
      </c>
      <c r="AA49" s="46">
        <f>SUM(B49:M49)</f>
        <v>270000</v>
      </c>
      <c r="AB49" s="46">
        <f>SUM(B49:Y49)</f>
        <v>540000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6000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6000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6000</v>
      </c>
      <c r="AA50" s="46">
        <f>SUM(B50:M50)</f>
        <v>6000</v>
      </c>
      <c r="AB50" s="46">
        <f>SUM(B50:Y50)</f>
        <v>12000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27592.37313612173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27592.37313612173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27592.37313612173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27592.37313612173</v>
      </c>
      <c r="Z54" s="46">
        <f>SUMIF($B$13:$Y$13,"Yes",B54:Y54)</f>
        <v>55184.74627224346</v>
      </c>
      <c r="AA54" s="46">
        <f>SUM(B54:M54)</f>
        <v>55184.74627224346</v>
      </c>
      <c r="AB54" s="46">
        <f>SUM(B54:Y54)</f>
        <v>110369.4925444869</v>
      </c>
    </row>
    <row r="55" spans="1:30" hidden="true" outlineLevel="1">
      <c r="A55" s="181" t="str">
        <f>Calculations!$A$4</f>
        <v>Wheat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27592.37313612173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27592.37313612173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27592.37313612173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27592.37313612173</v>
      </c>
      <c r="Z55" s="46">
        <f>SUMIF($B$13:$Y$13,"Yes",B55:Y55)</f>
        <v>55184.74627224346</v>
      </c>
      <c r="AA55" s="46">
        <f>SUM(B55:M55)</f>
        <v>55184.74627224346</v>
      </c>
      <c r="AB55" s="46">
        <f>SUM(B55:Y55)</f>
        <v>110369.4925444869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Wheat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35175</v>
      </c>
      <c r="C66" s="36">
        <f>O66</f>
        <v>35175</v>
      </c>
      <c r="D66" s="36">
        <f>P66</f>
        <v>35175</v>
      </c>
      <c r="E66" s="36">
        <f>Q66</f>
        <v>35175</v>
      </c>
      <c r="F66" s="36">
        <f>R66</f>
        <v>35175</v>
      </c>
      <c r="G66" s="36">
        <f>S66</f>
        <v>35175</v>
      </c>
      <c r="H66" s="36">
        <f>T66</f>
        <v>35175</v>
      </c>
      <c r="I66" s="36">
        <f>U66</f>
        <v>18375</v>
      </c>
      <c r="J66" s="36">
        <f>V66</f>
        <v>18375</v>
      </c>
      <c r="K66" s="36">
        <f>W66</f>
        <v>18375</v>
      </c>
      <c r="L66" s="36">
        <f>X66</f>
        <v>18375</v>
      </c>
      <c r="M66" s="36">
        <f>Y66</f>
        <v>18375</v>
      </c>
      <c r="N66" s="46">
        <f>SUM(N67:N71)</f>
        <v>35175</v>
      </c>
      <c r="O66" s="46">
        <f>SUM(O67:O71)</f>
        <v>35175</v>
      </c>
      <c r="P66" s="46">
        <f>SUM(P67:P71)</f>
        <v>35175</v>
      </c>
      <c r="Q66" s="46">
        <f>SUM(Q67:Q71)</f>
        <v>35175</v>
      </c>
      <c r="R66" s="46">
        <f>SUM(R67:R71)</f>
        <v>35175</v>
      </c>
      <c r="S66" s="46">
        <f>SUM(S67:S71)</f>
        <v>35175</v>
      </c>
      <c r="T66" s="46">
        <f>SUM(T67:T71)</f>
        <v>35175</v>
      </c>
      <c r="U66" s="46">
        <f>SUM(U67:U71)</f>
        <v>18375</v>
      </c>
      <c r="V66" s="46">
        <f>SUM(V67:V71)</f>
        <v>18375</v>
      </c>
      <c r="W66" s="46">
        <f>SUM(W67:W71)</f>
        <v>18375</v>
      </c>
      <c r="X66" s="46">
        <f>SUM(X67:X71)</f>
        <v>18375</v>
      </c>
      <c r="Y66" s="46">
        <f>SUM(Y67:Y71)</f>
        <v>18375</v>
      </c>
      <c r="Z66" s="46">
        <f>SUMIF($B$13:$Y$13,"Yes",B66:Y66)</f>
        <v>373275</v>
      </c>
      <c r="AA66" s="46">
        <f>SUM(B66:M66)</f>
        <v>338100</v>
      </c>
      <c r="AB66" s="46">
        <f>SUM(B66:Y66)</f>
        <v>676200</v>
      </c>
    </row>
    <row r="67" spans="1:30" hidden="true" outlineLevel="1">
      <c r="A67" s="181" t="str">
        <f>Calculations!$A$4</f>
        <v>Wheat</v>
      </c>
      <c r="B67" s="36">
        <f>N67</f>
        <v>18375</v>
      </c>
      <c r="C67" s="36">
        <f>O67</f>
        <v>18375</v>
      </c>
      <c r="D67" s="36">
        <f>P67</f>
        <v>18375</v>
      </c>
      <c r="E67" s="36">
        <f>Q67</f>
        <v>18375</v>
      </c>
      <c r="F67" s="36">
        <f>R67</f>
        <v>18375</v>
      </c>
      <c r="G67" s="36">
        <f>S67</f>
        <v>18375</v>
      </c>
      <c r="H67" s="36">
        <f>T67</f>
        <v>18375</v>
      </c>
      <c r="I67" s="36">
        <f>U67</f>
        <v>18375</v>
      </c>
      <c r="J67" s="36">
        <f>V67</f>
        <v>18375</v>
      </c>
      <c r="K67" s="36">
        <f>W67</f>
        <v>18375</v>
      </c>
      <c r="L67" s="36">
        <f>X67</f>
        <v>18375</v>
      </c>
      <c r="M67" s="36">
        <f>Y67</f>
        <v>18375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18375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18375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18375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18375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18375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18375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18375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18375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18375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18375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18375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18375</v>
      </c>
      <c r="Z67" s="46">
        <f>SUMIF($B$13:$Y$13,"Yes",B67:Y67)</f>
        <v>238875</v>
      </c>
      <c r="AA67" s="46">
        <f>SUM(B67:M67)</f>
        <v>220500</v>
      </c>
      <c r="AB67" s="46">
        <f>SUM(B67:Y67)</f>
        <v>441000</v>
      </c>
    </row>
    <row r="68" spans="1:30" hidden="true" outlineLevel="1">
      <c r="A68" s="181" t="str">
        <f>Calculations!$A$5</f>
        <v>Maize</v>
      </c>
      <c r="B68" s="36">
        <f>N68</f>
        <v>16800</v>
      </c>
      <c r="C68" s="36">
        <f>O68</f>
        <v>16800</v>
      </c>
      <c r="D68" s="36">
        <f>P68</f>
        <v>16800</v>
      </c>
      <c r="E68" s="36">
        <f>Q68</f>
        <v>16800</v>
      </c>
      <c r="F68" s="36">
        <f>R68</f>
        <v>16800</v>
      </c>
      <c r="G68" s="36">
        <f>S68</f>
        <v>16800</v>
      </c>
      <c r="H68" s="36">
        <f>T68</f>
        <v>16800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16800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16800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16800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16800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16800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16800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16800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134400</v>
      </c>
      <c r="AA68" s="46">
        <f>SUM(B68:M68)</f>
        <v>117600</v>
      </c>
      <c r="AB68" s="46">
        <f>SUM(B68:Y68)</f>
        <v>235200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1500</v>
      </c>
      <c r="C75" s="46">
        <f>SUM(Calculations!$R$14:$R$16)/12</f>
        <v>1500</v>
      </c>
      <c r="D75" s="46">
        <f>SUM(Calculations!$R$14:$R$16)/12</f>
        <v>1500</v>
      </c>
      <c r="E75" s="46">
        <f>SUM(Calculations!$R$14:$R$16)/12</f>
        <v>1500</v>
      </c>
      <c r="F75" s="46">
        <f>SUM(Calculations!$R$14:$R$16)/12</f>
        <v>1500</v>
      </c>
      <c r="G75" s="46">
        <f>SUM(Calculations!$R$14:$R$16)/12</f>
        <v>1500</v>
      </c>
      <c r="H75" s="46">
        <f>SUM(Calculations!$R$14:$R$16)/12</f>
        <v>1500</v>
      </c>
      <c r="I75" s="46">
        <f>SUM(Calculations!$R$14:$R$16)/12</f>
        <v>1500</v>
      </c>
      <c r="J75" s="46">
        <f>SUM(Calculations!$R$14:$R$16)/12</f>
        <v>1500</v>
      </c>
      <c r="K75" s="46">
        <f>SUM(Calculations!$R$14:$R$16)/12</f>
        <v>1500</v>
      </c>
      <c r="L75" s="46">
        <f>SUM(Calculations!$R$14:$R$16)/12</f>
        <v>1500</v>
      </c>
      <c r="M75" s="46">
        <f>SUM(Calculations!$R$14:$R$16)/12</f>
        <v>1500</v>
      </c>
      <c r="N75" s="46">
        <f>SUM(Calculations!$R$14:$R$16)/12</f>
        <v>1500</v>
      </c>
      <c r="O75" s="46">
        <f>SUM(Calculations!$R$14:$R$16)/12</f>
        <v>1500</v>
      </c>
      <c r="P75" s="46">
        <f>SUM(Calculations!$R$14:$R$16)/12</f>
        <v>1500</v>
      </c>
      <c r="Q75" s="46">
        <f>SUM(Calculations!$R$14:$R$16)/12</f>
        <v>1500</v>
      </c>
      <c r="R75" s="46">
        <f>SUM(Calculations!$R$14:$R$16)/12</f>
        <v>1500</v>
      </c>
      <c r="S75" s="46">
        <f>SUM(Calculations!$R$14:$R$16)/12</f>
        <v>1500</v>
      </c>
      <c r="T75" s="46">
        <f>SUM(Calculations!$R$14:$R$16)/12</f>
        <v>1500</v>
      </c>
      <c r="U75" s="46">
        <f>SUM(Calculations!$R$14:$R$16)/12</f>
        <v>1500</v>
      </c>
      <c r="V75" s="46">
        <f>SUM(Calculations!$R$14:$R$16)/12</f>
        <v>1500</v>
      </c>
      <c r="W75" s="46">
        <f>SUM(Calculations!$R$14:$R$16)/12</f>
        <v>1500</v>
      </c>
      <c r="X75" s="46">
        <f>SUM(Calculations!$R$14:$R$16)/12</f>
        <v>1500</v>
      </c>
      <c r="Y75" s="46">
        <f>SUM(Calculations!$R$14:$R$16)/12</f>
        <v>1500</v>
      </c>
      <c r="Z75" s="46">
        <f>SUMIF($B$13:$Y$13,"Yes",B75:Y75)</f>
        <v>19500</v>
      </c>
      <c r="AA75" s="46">
        <f>SUM(B75:M75)</f>
        <v>18000</v>
      </c>
      <c r="AB75" s="46">
        <f>SUM(B75:Y75)</f>
        <v>36000</v>
      </c>
    </row>
    <row r="76" spans="1:30">
      <c r="A76" s="16" t="s">
        <v>48</v>
      </c>
      <c r="B76" s="46">
        <f>SUM(Calculations!$S$14:$S$16)/12</f>
        <v>1916.666666666667</v>
      </c>
      <c r="C76" s="46">
        <f>SUM(Calculations!$S$14:$S$16)/12</f>
        <v>1916.666666666667</v>
      </c>
      <c r="D76" s="46">
        <f>SUM(Calculations!$S$14:$S$16)/12</f>
        <v>1916.666666666667</v>
      </c>
      <c r="E76" s="46">
        <f>SUM(Calculations!$S$14:$S$16)/12</f>
        <v>1916.666666666667</v>
      </c>
      <c r="F76" s="46">
        <f>SUM(Calculations!$S$14:$S$16)/12</f>
        <v>1916.666666666667</v>
      </c>
      <c r="G76" s="46">
        <f>SUM(Calculations!$S$14:$S$16)/12</f>
        <v>1916.666666666667</v>
      </c>
      <c r="H76" s="46">
        <f>SUM(Calculations!$S$14:$S$16)/12</f>
        <v>1916.666666666667</v>
      </c>
      <c r="I76" s="46">
        <f>SUM(Calculations!$S$14:$S$16)/12</f>
        <v>1916.666666666667</v>
      </c>
      <c r="J76" s="46">
        <f>SUM(Calculations!$S$14:$S$16)/12</f>
        <v>1916.666666666667</v>
      </c>
      <c r="K76" s="46">
        <f>SUM(Calculations!$S$14:$S$16)/12</f>
        <v>1916.666666666667</v>
      </c>
      <c r="L76" s="46">
        <f>SUM(Calculations!$S$14:$S$16)/12</f>
        <v>1916.666666666667</v>
      </c>
      <c r="M76" s="46">
        <f>SUM(Calculations!$S$14:$S$16)/12</f>
        <v>1916.666666666667</v>
      </c>
      <c r="N76" s="46">
        <f>SUM(Calculations!$S$14:$S$16)/12</f>
        <v>1916.666666666667</v>
      </c>
      <c r="O76" s="46">
        <f>SUM(Calculations!$S$14:$S$16)/12</f>
        <v>1916.666666666667</v>
      </c>
      <c r="P76" s="46">
        <f>SUM(Calculations!$S$14:$S$16)/12</f>
        <v>1916.666666666667</v>
      </c>
      <c r="Q76" s="46">
        <f>SUM(Calculations!$S$14:$S$16)/12</f>
        <v>1916.666666666667</v>
      </c>
      <c r="R76" s="46">
        <f>SUM(Calculations!$S$14:$S$16)/12</f>
        <v>1916.666666666667</v>
      </c>
      <c r="S76" s="46">
        <f>SUM(Calculations!$S$14:$S$16)/12</f>
        <v>1916.666666666667</v>
      </c>
      <c r="T76" s="46">
        <f>SUM(Calculations!$S$14:$S$16)/12</f>
        <v>1916.666666666667</v>
      </c>
      <c r="U76" s="46">
        <f>SUM(Calculations!$S$14:$S$16)/12</f>
        <v>1916.666666666667</v>
      </c>
      <c r="V76" s="46">
        <f>SUM(Calculations!$S$14:$S$16)/12</f>
        <v>1916.666666666667</v>
      </c>
      <c r="W76" s="46">
        <f>SUM(Calculations!$S$14:$S$16)/12</f>
        <v>1916.666666666667</v>
      </c>
      <c r="X76" s="46">
        <f>SUM(Calculations!$S$14:$S$16)/12</f>
        <v>1916.666666666667</v>
      </c>
      <c r="Y76" s="46">
        <f>SUM(Calculations!$S$14:$S$16)/12</f>
        <v>1916.666666666667</v>
      </c>
      <c r="Z76" s="46">
        <f>SUMIF($B$13:$Y$13,"Yes",B76:Y76)</f>
        <v>24916.66666666667</v>
      </c>
      <c r="AA76" s="46">
        <f>SUM(B76:M76)</f>
        <v>23000</v>
      </c>
      <c r="AB76" s="46">
        <f>SUM(B76:Y76)</f>
        <v>45999.99999999999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</v>
      </c>
      <c r="C79" s="46">
        <f>Inputs!$B$31</f>
        <v>2000</v>
      </c>
      <c r="D79" s="46">
        <f>Inputs!$B$31</f>
        <v>2000</v>
      </c>
      <c r="E79" s="46">
        <f>Inputs!$B$31</f>
        <v>2000</v>
      </c>
      <c r="F79" s="46">
        <f>Inputs!$B$31</f>
        <v>2000</v>
      </c>
      <c r="G79" s="46">
        <f>Inputs!$B$31</f>
        <v>2000</v>
      </c>
      <c r="H79" s="46">
        <f>Inputs!$B$31</f>
        <v>2000</v>
      </c>
      <c r="I79" s="46">
        <f>Inputs!$B$31</f>
        <v>2000</v>
      </c>
      <c r="J79" s="46">
        <f>Inputs!$B$31</f>
        <v>2000</v>
      </c>
      <c r="K79" s="46">
        <f>Inputs!$B$31</f>
        <v>2000</v>
      </c>
      <c r="L79" s="46">
        <f>Inputs!$B$31</f>
        <v>2000</v>
      </c>
      <c r="M79" s="46">
        <f>Inputs!$B$31</f>
        <v>2000</v>
      </c>
      <c r="N79" s="46">
        <f>Inputs!$B$31</f>
        <v>2000</v>
      </c>
      <c r="O79" s="46">
        <f>Inputs!$B$31</f>
        <v>2000</v>
      </c>
      <c r="P79" s="46">
        <f>Inputs!$B$31</f>
        <v>2000</v>
      </c>
      <c r="Q79" s="46">
        <f>Inputs!$B$31</f>
        <v>2000</v>
      </c>
      <c r="R79" s="46">
        <f>Inputs!$B$31</f>
        <v>2000</v>
      </c>
      <c r="S79" s="46">
        <f>Inputs!$B$31</f>
        <v>2000</v>
      </c>
      <c r="T79" s="46">
        <f>Inputs!$B$31</f>
        <v>2000</v>
      </c>
      <c r="U79" s="46">
        <f>Inputs!$B$31</f>
        <v>2000</v>
      </c>
      <c r="V79" s="46">
        <f>Inputs!$B$31</f>
        <v>2000</v>
      </c>
      <c r="W79" s="46">
        <f>Inputs!$B$31</f>
        <v>2000</v>
      </c>
      <c r="X79" s="46">
        <f>Inputs!$B$31</f>
        <v>2000</v>
      </c>
      <c r="Y79" s="46">
        <f>Inputs!$B$31</f>
        <v>2000</v>
      </c>
      <c r="Z79" s="46">
        <f>SUMIF($B$13:$Y$13,"Yes",B79:Y79)</f>
        <v>26000</v>
      </c>
      <c r="AA79" s="46">
        <f>SUM(B79:M79)</f>
        <v>24000</v>
      </c>
      <c r="AB79" s="46">
        <f>SUM(B79:Y79)</f>
        <v>48000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33940.1137017117</v>
      </c>
      <c r="C81" s="46">
        <f>(SUM($AA$18:$AA$29)-SUM($AA$36,$AA$42,$AA$48,$AA$54,$AA$60,$AA$66,$AA$72:$AA$79))*Parameters!$B$37/12</f>
        <v>33940.1137017117</v>
      </c>
      <c r="D81" s="46">
        <f>(SUM($AA$18:$AA$29)-SUM($AA$36,$AA$42,$AA$48,$AA$54,$AA$60,$AA$66,$AA$72:$AA$79))*Parameters!$B$37/12</f>
        <v>33940.1137017117</v>
      </c>
      <c r="E81" s="46">
        <f>(SUM($AA$18:$AA$29)-SUM($AA$36,$AA$42,$AA$48,$AA$54,$AA$60,$AA$66,$AA$72:$AA$79))*Parameters!$B$37/12</f>
        <v>33940.1137017117</v>
      </c>
      <c r="F81" s="46">
        <f>(SUM($AA$18:$AA$29)-SUM($AA$36,$AA$42,$AA$48,$AA$54,$AA$60,$AA$66,$AA$72:$AA$79))*Parameters!$B$37/12</f>
        <v>33940.1137017117</v>
      </c>
      <c r="G81" s="46">
        <f>(SUM($AA$18:$AA$29)-SUM($AA$36,$AA$42,$AA$48,$AA$54,$AA$60,$AA$66,$AA$72:$AA$79))*Parameters!$B$37/12</f>
        <v>33940.1137017117</v>
      </c>
      <c r="H81" s="46">
        <f>(SUM($AA$18:$AA$29)-SUM($AA$36,$AA$42,$AA$48,$AA$54,$AA$60,$AA$66,$AA$72:$AA$79))*Parameters!$B$37/12</f>
        <v>33940.1137017117</v>
      </c>
      <c r="I81" s="46">
        <f>(SUM($AA$18:$AA$29)-SUM($AA$36,$AA$42,$AA$48,$AA$54,$AA$60,$AA$66,$AA$72:$AA$79))*Parameters!$B$37/12</f>
        <v>33940.1137017117</v>
      </c>
      <c r="J81" s="46">
        <f>(SUM($AA$18:$AA$29)-SUM($AA$36,$AA$42,$AA$48,$AA$54,$AA$60,$AA$66,$AA$72:$AA$79))*Parameters!$B$37/12</f>
        <v>33940.1137017117</v>
      </c>
      <c r="K81" s="46">
        <f>(SUM($AA$18:$AA$29)-SUM($AA$36,$AA$42,$AA$48,$AA$54,$AA$60,$AA$66,$AA$72:$AA$79))*Parameters!$B$37/12</f>
        <v>33940.1137017117</v>
      </c>
      <c r="L81" s="46">
        <f>(SUM($AA$18:$AA$29)-SUM($AA$36,$AA$42,$AA$48,$AA$54,$AA$60,$AA$66,$AA$72:$AA$79))*Parameters!$B$37/12</f>
        <v>33940.1137017117</v>
      </c>
      <c r="M81" s="46">
        <f>(SUM($AA$18:$AA$29)-SUM($AA$36,$AA$42,$AA$48,$AA$54,$AA$60,$AA$66,$AA$72:$AA$79))*Parameters!$B$37/12</f>
        <v>33940.1137017117</v>
      </c>
      <c r="N81" s="46">
        <f>(SUM($AA$18:$AA$29)-SUM($AA$36,$AA$42,$AA$48,$AA$54,$AA$60,$AA$66,$AA$72:$AA$79))*Parameters!$B$37/12</f>
        <v>33940.1137017117</v>
      </c>
      <c r="O81" s="46">
        <f>(SUM($AA$18:$AA$29)-SUM($AA$36,$AA$42,$AA$48,$AA$54,$AA$60,$AA$66,$AA$72:$AA$79))*Parameters!$B$37/12</f>
        <v>33940.1137017117</v>
      </c>
      <c r="P81" s="46">
        <f>(SUM($AA$18:$AA$29)-SUM($AA$36,$AA$42,$AA$48,$AA$54,$AA$60,$AA$66,$AA$72:$AA$79))*Parameters!$B$37/12</f>
        <v>33940.1137017117</v>
      </c>
      <c r="Q81" s="46">
        <f>(SUM($AA$18:$AA$29)-SUM($AA$36,$AA$42,$AA$48,$AA$54,$AA$60,$AA$66,$AA$72:$AA$79))*Parameters!$B$37/12</f>
        <v>33940.1137017117</v>
      </c>
      <c r="R81" s="46">
        <f>(SUM($AA$18:$AA$29)-SUM($AA$36,$AA$42,$AA$48,$AA$54,$AA$60,$AA$66,$AA$72:$AA$79))*Parameters!$B$37/12</f>
        <v>33940.1137017117</v>
      </c>
      <c r="S81" s="46">
        <f>(SUM($AA$18:$AA$29)-SUM($AA$36,$AA$42,$AA$48,$AA$54,$AA$60,$AA$66,$AA$72:$AA$79))*Parameters!$B$37/12</f>
        <v>33940.1137017117</v>
      </c>
      <c r="T81" s="46">
        <f>(SUM($AA$18:$AA$29)-SUM($AA$36,$AA$42,$AA$48,$AA$54,$AA$60,$AA$66,$AA$72:$AA$79))*Parameters!$B$37/12</f>
        <v>33940.1137017117</v>
      </c>
      <c r="U81" s="46">
        <f>(SUM($AA$18:$AA$29)-SUM($AA$36,$AA$42,$AA$48,$AA$54,$AA$60,$AA$66,$AA$72:$AA$79))*Parameters!$B$37/12</f>
        <v>33940.1137017117</v>
      </c>
      <c r="V81" s="46">
        <f>(SUM($AA$18:$AA$29)-SUM($AA$36,$AA$42,$AA$48,$AA$54,$AA$60,$AA$66,$AA$72:$AA$79))*Parameters!$B$37/12</f>
        <v>33940.1137017117</v>
      </c>
      <c r="W81" s="46">
        <f>(SUM($AA$18:$AA$29)-SUM($AA$36,$AA$42,$AA$48,$AA$54,$AA$60,$AA$66,$AA$72:$AA$79))*Parameters!$B$37/12</f>
        <v>33940.1137017117</v>
      </c>
      <c r="X81" s="46">
        <f>(SUM($AA$18:$AA$29)-SUM($AA$36,$AA$42,$AA$48,$AA$54,$AA$60,$AA$66,$AA$72:$AA$79))*Parameters!$B$37/12</f>
        <v>33940.1137017117</v>
      </c>
      <c r="Y81" s="46">
        <f>(SUM($AA$18:$AA$29)-SUM($AA$36,$AA$42,$AA$48,$AA$54,$AA$60,$AA$66,$AA$72:$AA$79))*Parameters!$B$37/12</f>
        <v>33940.1137017117</v>
      </c>
      <c r="Z81" s="46">
        <f>SUMIF($B$13:$Y$13,"Yes",B81:Y81)</f>
        <v>441221.4781222521</v>
      </c>
      <c r="AA81" s="46">
        <f>SUM(B81:M81)</f>
        <v>407281.3644205404</v>
      </c>
      <c r="AB81" s="46">
        <f>SUM(B81:Y81)</f>
        <v>814562.7288410803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138341.7803683784</v>
      </c>
      <c r="C88" s="19">
        <f>SUM(C72:C82,C66,C60,C54,C48,C42,C36)</f>
        <v>74531.78036837836</v>
      </c>
      <c r="D88" s="19">
        <f>SUM(D72:D82,D66,D60,D54,D48,D42,D36)</f>
        <v>74531.78036837836</v>
      </c>
      <c r="E88" s="19">
        <f>SUM(E72:E82,E66,E60,E54,E48,E42,E36)</f>
        <v>215531.7803683784</v>
      </c>
      <c r="F88" s="19">
        <f>SUM(F72:F82,F66,F60,F54,F48,F42,F36)</f>
        <v>74531.78036837836</v>
      </c>
      <c r="G88" s="19">
        <f>SUM(G72:G82,G66,G60,G54,G48,G42,G36)</f>
        <v>102124.1535045001</v>
      </c>
      <c r="H88" s="19">
        <f>SUM(H72:H82,H66,H60,H54,H48,H42,H36)</f>
        <v>132281.7803683784</v>
      </c>
      <c r="I88" s="19">
        <f>SUM(I72:I82,I66,I60,I54,I48,I42,I36)</f>
        <v>57731.78036837836</v>
      </c>
      <c r="J88" s="19">
        <f>SUM(J72:J82,J66,J60,J54,J48,J42,J36)</f>
        <v>57731.78036837836</v>
      </c>
      <c r="K88" s="19">
        <f>SUM(K72:K82,K66,K60,K54,K48,K42,K36)</f>
        <v>192731.7803683784</v>
      </c>
      <c r="L88" s="19">
        <f>SUM(L72:L82,L66,L60,L54,L48,L42,L36)</f>
        <v>57731.78036837836</v>
      </c>
      <c r="M88" s="19">
        <f>SUM(M72:M82,M66,M60,M54,M48,M42,M36)</f>
        <v>85324.15350450009</v>
      </c>
      <c r="N88" s="19">
        <f>SUM(N72:N82,N66,N60,N54,N48,N42,N36)</f>
        <v>138341.7803683784</v>
      </c>
      <c r="O88" s="19">
        <f>SUM(O72:O82,O66,O60,O54,O48,O42,O36)</f>
        <v>74531.78036837836</v>
      </c>
      <c r="P88" s="19">
        <f>SUM(P72:P82,P66,P60,P54,P48,P42,P36)</f>
        <v>74531.78036837836</v>
      </c>
      <c r="Q88" s="19">
        <f>SUM(Q72:Q82,Q66,Q60,Q54,Q48,Q42,Q36)</f>
        <v>215531.7803683784</v>
      </c>
      <c r="R88" s="19">
        <f>SUM(R72:R82,R66,R60,R54,R48,R42,R36)</f>
        <v>74531.78036837836</v>
      </c>
      <c r="S88" s="19">
        <f>SUM(S72:S82,S66,S60,S54,S48,S42,S36)</f>
        <v>102124.1535045001</v>
      </c>
      <c r="T88" s="19">
        <f>SUM(T72:T82,T66,T60,T54,T48,T42,T36)</f>
        <v>132281.7803683784</v>
      </c>
      <c r="U88" s="19">
        <f>SUM(U72:U82,U66,U60,U54,U48,U42,U36)</f>
        <v>57731.78036837836</v>
      </c>
      <c r="V88" s="19">
        <f>SUM(V72:V82,V66,V60,V54,V48,V42,V36)</f>
        <v>57731.78036837836</v>
      </c>
      <c r="W88" s="19">
        <f>SUM(W72:W82,W66,W60,W54,W48,W42,W36)</f>
        <v>192731.7803683784</v>
      </c>
      <c r="X88" s="19">
        <f>SUM(X72:X82,X66,X60,X54,X48,X42,X36)</f>
        <v>57731.78036837836</v>
      </c>
      <c r="Y88" s="19">
        <f>SUM(Y72:Y82,Y66,Y60,Y54,Y48,Y42,Y36)</f>
        <v>85324.15350450009</v>
      </c>
      <c r="Z88" s="19">
        <f>SUMIF($B$13:$Y$13,"Yes",B88:Y88)</f>
        <v>1401467.891061162</v>
      </c>
      <c r="AA88" s="19">
        <f>SUM(B88:M88)</f>
        <v>1263126.110692784</v>
      </c>
      <c r="AB88" s="19">
        <f>SUM(B88:Y88)</f>
        <v>2526252.221385568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550000</v>
      </c>
    </row>
    <row r="96" spans="1:30">
      <c r="A96" t="s">
        <v>62</v>
      </c>
      <c r="B96" s="36">
        <f>SUMPRODUCT(Inputs!C19:C21,Calculations!O14:O16)</f>
        <v>680000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6875000</v>
      </c>
    </row>
    <row r="98" spans="1:30">
      <c r="A98" t="s">
        <v>64</v>
      </c>
      <c r="B98" s="36">
        <f>IF(Inputs!B44="Yes",Inputs!B45,0)</f>
        <v>450000</v>
      </c>
    </row>
    <row r="99" spans="1:30">
      <c r="A99" t="s">
        <v>65</v>
      </c>
      <c r="B99" s="36">
        <f>Inputs!B46</f>
        <v>650000</v>
      </c>
    </row>
    <row r="100" spans="1:30" customHeight="1" ht="15.75">
      <c r="A100" s="18" t="s">
        <v>66</v>
      </c>
      <c r="B100" s="37">
        <f>Inputs!B48</f>
        <v>1200000</v>
      </c>
    </row>
    <row r="101" spans="1:30" customHeight="1" ht="15.75">
      <c r="A101" s="1" t="s">
        <v>67</v>
      </c>
      <c r="B101" s="19">
        <f>SUM(B94:B100)</f>
        <v>10430000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6000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1</v>
      </c>
      <c r="P7" s="41"/>
    </row>
    <row r="8" spans="1:48">
      <c r="A8" s="143" t="s">
        <v>95</v>
      </c>
      <c r="B8" s="16"/>
      <c r="C8" s="143">
        <v>10</v>
      </c>
      <c r="D8" s="16"/>
      <c r="E8" s="147" t="s">
        <v>96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20</v>
      </c>
      <c r="D19" s="145"/>
      <c r="E19" s="20"/>
      <c r="F19" s="145" t="s">
        <v>93</v>
      </c>
      <c r="G19" s="20"/>
      <c r="H19" s="20"/>
      <c r="I19" s="145" t="s">
        <v>111</v>
      </c>
      <c r="J19" s="145"/>
      <c r="K19" s="145"/>
      <c r="L19" s="25"/>
    </row>
    <row r="20" spans="1:48">
      <c r="A20" s="143" t="s">
        <v>112</v>
      </c>
      <c r="B20" s="16"/>
      <c r="C20" s="143">
        <v>30</v>
      </c>
      <c r="D20" s="147"/>
      <c r="E20" s="16"/>
      <c r="F20" s="147" t="s">
        <v>93</v>
      </c>
      <c r="G20" s="16"/>
      <c r="H20" s="16"/>
      <c r="I20" s="147" t="s">
        <v>111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30</v>
      </c>
    </row>
    <row r="27" spans="1:48">
      <c r="A27" s="14" t="s">
        <v>115</v>
      </c>
    </row>
    <row r="29" spans="1:48">
      <c r="A29" s="45" t="s">
        <v>116</v>
      </c>
      <c r="B29" s="156" t="s">
        <v>117</v>
      </c>
    </row>
    <row r="30" spans="1:48">
      <c r="A30" s="44" t="s">
        <v>118</v>
      </c>
      <c r="B30" s="157">
        <v>9000</v>
      </c>
    </row>
    <row r="31" spans="1:48">
      <c r="A31" s="5" t="s">
        <v>119</v>
      </c>
      <c r="B31" s="158">
        <v>2000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450000</v>
      </c>
    </row>
    <row r="46" spans="1:48" customHeight="1" ht="30">
      <c r="A46" s="57" t="s">
        <v>133</v>
      </c>
      <c r="B46" s="161">
        <v>650000</v>
      </c>
    </row>
    <row r="47" spans="1:48" customHeight="1" ht="30">
      <c r="A47" s="57" t="s">
        <v>134</v>
      </c>
      <c r="B47" s="161">
        <v>550000</v>
      </c>
    </row>
    <row r="48" spans="1:48" customHeight="1" ht="30">
      <c r="A48" s="57" t="s">
        <v>135</v>
      </c>
      <c r="B48" s="161">
        <v>1200000</v>
      </c>
    </row>
    <row r="49" spans="1:48" customHeight="1" ht="30">
      <c r="A49" s="57" t="s">
        <v>136</v>
      </c>
      <c r="B49" s="161">
        <v>25000</v>
      </c>
    </row>
    <row r="50" spans="1:48">
      <c r="A50" s="43"/>
      <c r="B50" s="36"/>
    </row>
    <row r="51" spans="1:48">
      <c r="A51" s="58" t="s">
        <v>137</v>
      </c>
      <c r="B51" s="161">
        <v>6000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146</v>
      </c>
      <c r="C65" s="10" t="s">
        <v>147</v>
      </c>
    </row>
    <row r="66" spans="1:48">
      <c r="A66" s="142" t="s">
        <v>148</v>
      </c>
      <c r="B66" s="159">
        <v>0</v>
      </c>
      <c r="C66" s="163">
        <v>0</v>
      </c>
      <c r="D66" s="49">
        <f>INDEX(Parameters!$D$79:$D$90,MATCH(Inputs!A66,Parameters!$C$79:$C$90,0))</f>
        <v>1</v>
      </c>
    </row>
    <row r="67" spans="1:48">
      <c r="A67" s="143" t="s">
        <v>148</v>
      </c>
      <c r="B67" s="157">
        <v>0</v>
      </c>
      <c r="C67" s="165">
        <v>0</v>
      </c>
      <c r="D67" s="49">
        <f>INDEX(Parameters!$D$79:$D$90,MATCH(Inputs!A67,Parameters!$C$79:$C$90,0))</f>
        <v>1</v>
      </c>
    </row>
    <row r="68" spans="1:48">
      <c r="A68" s="143" t="s">
        <v>148</v>
      </c>
      <c r="B68" s="157">
        <v>0</v>
      </c>
      <c r="C68" s="165">
        <v>0</v>
      </c>
      <c r="D68" s="49">
        <f>INDEX(Parameters!$D$79:$D$90,MATCH(Inputs!A68,Parameters!$C$79:$C$90,0))</f>
        <v>1</v>
      </c>
    </row>
    <row r="69" spans="1:48">
      <c r="A69" s="143" t="s">
        <v>149</v>
      </c>
      <c r="B69" s="157">
        <v>0</v>
      </c>
      <c r="C69" s="165">
        <v>0</v>
      </c>
      <c r="D69" s="49">
        <f>INDEX(Parameters!$D$79:$D$90,MATCH(Inputs!A69,Parameters!$C$79:$C$90,0))</f>
        <v>11</v>
      </c>
    </row>
    <row r="70" spans="1:48">
      <c r="A70" s="143" t="s">
        <v>150</v>
      </c>
      <c r="B70" s="157">
        <v>0</v>
      </c>
      <c r="C70" s="165">
        <v>0</v>
      </c>
      <c r="D70" s="49">
        <f>INDEX(Parameters!$D$79:$D$90,MATCH(Inputs!A70,Parameters!$C$79:$C$90,0))</f>
        <v>12</v>
      </c>
    </row>
    <row r="71" spans="1:48">
      <c r="A71" s="144" t="s">
        <v>148</v>
      </c>
      <c r="B71" s="158">
        <v>0</v>
      </c>
      <c r="C71" s="167">
        <v>0</v>
      </c>
      <c r="D71" s="49">
        <f>INDEX(Parameters!$D$79:$D$90,MATCH(Inputs!A71,Parameters!$C$79:$C$90,0))</f>
        <v>1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15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300000</v>
      </c>
    </row>
    <row r="82" spans="1:48">
      <c r="A82" t="s">
        <v>160</v>
      </c>
      <c r="B82" s="161">
        <v>20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Wheat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43221</v>
      </c>
      <c r="D4" s="38">
        <f>IFERROR(DATE(YEAR(B4),MONTH(B4)+T4,DAY(B4)),"")</f>
        <v>43282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43466</v>
      </c>
      <c r="H4" s="20">
        <f>Inputs!C7</f>
        <v>15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1599.557862963579</v>
      </c>
      <c r="M4" s="25">
        <f>L4*H4</f>
        <v>23993.36794445368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27.3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1310037.889767171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57750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135000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27592.37313612173</v>
      </c>
      <c r="AB4" s="33">
        <f>H4*IFERROR(INDEX(Parameters!$A$3:$AI$17,MATCH(Calculations!A4,Parameters!$A$3:$A$17,0),MATCH(Parameters!$O$3,Parameters!$A$3:$AI$3,0)),AVERAGE(Parameters!$O$4:$O$17))*(1-Inputs!$B$25/100)</f>
        <v>157500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43221</v>
      </c>
      <c r="D5" s="39">
        <f>IFERROR(DATE(YEAR(B5),MONTH(B5)+T5,DAY(B5)),"")</f>
        <v>43313</v>
      </c>
      <c r="E5" s="39">
        <f>IFERROR(IF($S5=0,"",IF($S5=2,DATE(YEAR(B5),MONTH(B5)+6,DAY(B5)),IF($S5=1,B5,""))),"")</f>
        <v>43132</v>
      </c>
      <c r="F5" s="39">
        <f>IFERROR(IF($S5=0,"",IF($S5=2,DATE(YEAR(C5),MONTH(C5)+6,DAY(C5)),IF($S5=1,C5,""))),"")</f>
        <v>43221</v>
      </c>
      <c r="G5" s="39">
        <f>IFERROR(IF($S5=0,"",IF($S5=2,DATE(YEAR(D5),MONTH(D5)+6,DAY(D5)),IF($S5=1,D5,""))),"")</f>
        <v>43313</v>
      </c>
      <c r="H5" s="16">
        <f>Inputs!C8</f>
        <v>10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1298.461591538526</v>
      </c>
      <c r="M5" s="30">
        <f>L5*H5</f>
        <v>12984.61591538526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272676.9342230905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3030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3000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84000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20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153333.3333333333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12000</v>
      </c>
      <c r="S14" s="63">
        <f>IFERROR(D14*INDEX(Parameters!$A$22:$P$29,MATCH(Calculations!$A14,Parameters!$A$22:$A$29,0),MATCH(Parameters!$N$22,Parameters!$A$22:$P$22,0)),"")</f>
        <v>14000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30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8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6000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30000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6000</v>
      </c>
      <c r="S15" s="64">
        <f>IFERROR(D15*INDEX(Parameters!$A$22:$P$29,MATCH(Calculations!$A15,Parameters!$A$22:$A$29,0),MATCH(Parameters!$N$22,Parameters!$A$22:$P$22,0)),"")</f>
        <v>9000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43166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43160</v>
      </c>
      <c r="F33" t="s">
        <v>156</v>
      </c>
      <c r="G33" s="128">
        <f>IF(Inputs!B79="","",DATE(YEAR(Inputs!B79),MONTH(Inputs!B79),DAY(Inputs!B79)))</f>
        <v>43138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43197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43191</v>
      </c>
      <c r="F34" t="s">
        <v>157</v>
      </c>
      <c r="G34" s="128">
        <f>IF(Inputs!B80="","",DATE(YEAR(Inputs!B80),MONTH(Inputs!B80),DAY(Inputs!B80)))</f>
        <v>43166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43227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43221</v>
      </c>
      <c r="F35" t="s">
        <v>159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43258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43252</v>
      </c>
      <c r="F36" t="s">
        <v>160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43288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43282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43319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43313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43350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43344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43380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43374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43411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43405</v>
      </c>
      <c r="F41" t="s">
        <v>223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43441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43435</v>
      </c>
      <c r="F42" t="s">
        <v>224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43472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43503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270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89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197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293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110</v>
      </c>
      <c r="B26" s="16" t="s">
        <v>292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112</v>
      </c>
      <c r="B27" s="71" t="s">
        <v>292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296</v>
      </c>
      <c r="B28" s="71" t="s">
        <v>292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297</v>
      </c>
      <c r="B29" s="118" t="s">
        <v>292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298</v>
      </c>
      <c r="B30" s="70" t="s">
        <v>292</v>
      </c>
    </row>
    <row r="31" spans="1:36">
      <c r="H31" s="86"/>
      <c r="I31" s="86"/>
      <c r="AI31" s="12"/>
    </row>
    <row r="32" spans="1:36">
      <c r="A32" s="3" t="s">
        <v>299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300</v>
      </c>
      <c r="B34" s="11" t="s">
        <v>301</v>
      </c>
    </row>
    <row r="35" spans="1:36">
      <c r="A35" t="s">
        <v>302</v>
      </c>
      <c r="B35" s="72">
        <v>60</v>
      </c>
      <c r="C35" s="86"/>
    </row>
    <row r="36" spans="1:36">
      <c r="A36" t="s">
        <v>303</v>
      </c>
      <c r="B36" s="72">
        <v>2000</v>
      </c>
      <c r="C36" s="86"/>
    </row>
    <row r="37" spans="1:36">
      <c r="A37" t="s">
        <v>304</v>
      </c>
      <c r="B37" s="2">
        <v>0.4</v>
      </c>
    </row>
    <row r="39" spans="1:36">
      <c r="A39" s="3" t="s">
        <v>305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306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293</v>
      </c>
      <c r="B44" s="72">
        <v>50000</v>
      </c>
      <c r="C44" s="72">
        <v>200000</v>
      </c>
    </row>
    <row r="45" spans="1:36">
      <c r="A45" t="s">
        <v>110</v>
      </c>
      <c r="B45" s="72">
        <v>25000</v>
      </c>
      <c r="C45" s="72">
        <v>50000</v>
      </c>
    </row>
    <row r="46" spans="1:36">
      <c r="A46" t="s">
        <v>112</v>
      </c>
      <c r="B46" s="72">
        <v>6000</v>
      </c>
      <c r="C46" s="72">
        <v>12000</v>
      </c>
    </row>
    <row r="47" spans="1:36">
      <c r="A47" t="s">
        <v>296</v>
      </c>
      <c r="B47" s="72">
        <v>4500</v>
      </c>
      <c r="C47" s="72">
        <v>12000</v>
      </c>
    </row>
    <row r="48" spans="1:36">
      <c r="A48" t="s">
        <v>297</v>
      </c>
      <c r="B48" s="72">
        <v>20000</v>
      </c>
      <c r="C48" s="72">
        <v>20000</v>
      </c>
      <c r="D48" s="72"/>
    </row>
    <row r="50" spans="1:36">
      <c r="A50" s="3" t="s">
        <v>307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308</v>
      </c>
      <c r="H52" s="12" t="s">
        <v>130</v>
      </c>
      <c r="I52" s="12" t="s">
        <v>309</v>
      </c>
      <c r="AJ52" s="12"/>
    </row>
    <row r="53" spans="1:36" customHeight="1" ht="30">
      <c r="A53" s="11" t="s">
        <v>310</v>
      </c>
      <c r="B53" s="11" t="s">
        <v>311</v>
      </c>
      <c r="C53" s="11" t="s">
        <v>312</v>
      </c>
      <c r="D53" s="10" t="s">
        <v>225</v>
      </c>
      <c r="E53" s="10" t="s">
        <v>184</v>
      </c>
      <c r="F53" s="10" t="s">
        <v>244</v>
      </c>
      <c r="G53" s="10" t="s">
        <v>313</v>
      </c>
      <c r="H53" s="10" t="s">
        <v>314</v>
      </c>
      <c r="I53" s="10" t="s">
        <v>314</v>
      </c>
      <c r="AJ53" s="12"/>
    </row>
    <row r="54" spans="1:36">
      <c r="A54">
        <v>8</v>
      </c>
      <c r="B54" s="12" t="s">
        <v>315</v>
      </c>
      <c r="C54" s="12" t="s">
        <v>316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317</v>
      </c>
      <c r="C55" s="12" t="s">
        <v>316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318</v>
      </c>
      <c r="C56" s="116" t="s">
        <v>319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320</v>
      </c>
      <c r="C57" s="116" t="s">
        <v>316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321</v>
      </c>
      <c r="C58" s="116" t="s">
        <v>316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322</v>
      </c>
      <c r="C59" s="116" t="s">
        <v>319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323</v>
      </c>
      <c r="C60" s="116" t="s">
        <v>319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324</v>
      </c>
      <c r="C61" s="116" t="s">
        <v>319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325</v>
      </c>
      <c r="C62" s="116" t="s">
        <v>319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326</v>
      </c>
      <c r="C63" s="116" t="s">
        <v>319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327</v>
      </c>
      <c r="C64" s="116" t="s">
        <v>319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328</v>
      </c>
      <c r="C65" s="12" t="s">
        <v>319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329</v>
      </c>
      <c r="C66" s="12" t="s">
        <v>319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330</v>
      </c>
      <c r="C67" s="12" t="s">
        <v>319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331</v>
      </c>
      <c r="C68" s="12" t="s">
        <v>319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332</v>
      </c>
      <c r="C69" s="12" t="s">
        <v>319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333</v>
      </c>
      <c r="C70" s="12" t="s">
        <v>319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334</v>
      </c>
      <c r="C71" s="12" t="s">
        <v>316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336</v>
      </c>
      <c r="B76" s="11" t="s">
        <v>337</v>
      </c>
      <c r="C76" s="11" t="s">
        <v>162</v>
      </c>
      <c r="D76" s="11" t="s">
        <v>338</v>
      </c>
      <c r="E76" s="11" t="s">
        <v>80</v>
      </c>
      <c r="F76" s="11" t="s">
        <v>339</v>
      </c>
      <c r="G76" s="11" t="s">
        <v>340</v>
      </c>
      <c r="H76" s="11" t="s">
        <v>341</v>
      </c>
      <c r="I76" s="11" t="s">
        <v>221</v>
      </c>
      <c r="J76" s="11" t="s">
        <v>342</v>
      </c>
      <c r="K76" s="11" t="s">
        <v>174</v>
      </c>
      <c r="AJ76" s="12"/>
    </row>
    <row r="77" spans="1:36">
      <c r="A77" t="s">
        <v>92</v>
      </c>
      <c r="B77" s="176">
        <v>0</v>
      </c>
      <c r="C77" s="12" t="s">
        <v>343</v>
      </c>
      <c r="E77" s="12" t="s">
        <v>93</v>
      </c>
      <c r="F77" s="12" t="s">
        <v>93</v>
      </c>
      <c r="G77" s="12" t="s">
        <v>111</v>
      </c>
      <c r="H77" s="12" t="s">
        <v>130</v>
      </c>
      <c r="I77" s="12" t="s">
        <v>344</v>
      </c>
      <c r="J77" s="136" t="s">
        <v>345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309</v>
      </c>
      <c r="I78" s="12" t="s">
        <v>350</v>
      </c>
      <c r="J78" s="70" t="s">
        <v>351</v>
      </c>
      <c r="K78" s="12" t="s">
        <v>93</v>
      </c>
      <c r="AJ78" s="12"/>
    </row>
    <row r="79" spans="1:36">
      <c r="B79" s="176">
        <v>10</v>
      </c>
      <c r="C79" s="12" t="s">
        <v>148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162</v>
      </c>
      <c r="J79" s="70" t="s">
        <v>96</v>
      </c>
      <c r="K79" s="12" t="s">
        <v>93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355</v>
      </c>
      <c r="F80" s="12" t="s">
        <v>356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357</v>
      </c>
      <c r="D81" s="12">
        <f>D80+1</f>
        <v>3</v>
      </c>
      <c r="J81" s="70" t="s">
        <v>358</v>
      </c>
      <c r="K81" s="12" t="s">
        <v>92</v>
      </c>
    </row>
    <row r="82" spans="1:36">
      <c r="B82" s="176">
        <v>40</v>
      </c>
      <c r="C82" s="12" t="s">
        <v>359</v>
      </c>
      <c r="D82" s="12">
        <f>D81+1</f>
        <v>4</v>
      </c>
      <c r="J82" s="70"/>
    </row>
    <row r="83" spans="1:36">
      <c r="B83" s="176">
        <v>50</v>
      </c>
      <c r="C83" s="12" t="s">
        <v>360</v>
      </c>
      <c r="D83" s="12">
        <f>D82+1</f>
        <v>5</v>
      </c>
    </row>
    <row r="84" spans="1:36">
      <c r="B84" s="176">
        <v>60</v>
      </c>
      <c r="C84" s="12" t="s">
        <v>361</v>
      </c>
      <c r="D84" s="12">
        <f>D83+1</f>
        <v>6</v>
      </c>
    </row>
    <row r="85" spans="1:36">
      <c r="B85" s="176">
        <v>70</v>
      </c>
      <c r="C85" s="12" t="s">
        <v>362</v>
      </c>
      <c r="D85" s="12">
        <f>D84+1</f>
        <v>7</v>
      </c>
    </row>
    <row r="86" spans="1:36">
      <c r="B86" s="176">
        <v>80</v>
      </c>
      <c r="C86" s="12" t="s">
        <v>363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149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