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<sst xmlns="http://schemas.openxmlformats.org/spreadsheetml/2006/main" uniqueCount="365">
  <si>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</si>
  <si>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</si>
  <si>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</si>
  <si>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</si>
  <si>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</si>
  <si>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</si>
  <si>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</si>
  <si>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</si>
  <si>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</si>
  <si>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</si>
  <si>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</si>
  <si>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</si>
  <si>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</si>
  <si>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</si>
  <si>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</si>
  <si>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</si>
  <si>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</si>
  <si>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</si>
  <si>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</si>
  <si>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</si>
  <si>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</si>
  <si>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</si>
  <si>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</si>
  <si>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</si>
  <si>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</si>
  <si>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</si>
  <si>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</si>
  <si>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</si>
  <si>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</si>
  <si>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</si>
  <si>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</si>
  <si>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</si>
  <si>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</si>
  <si>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</si>
  <si>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</si>
  <si>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</si>
  <si>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</si>
  <si>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</si>
  <si>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</si>
  <si>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</si>
  <si>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</si>
  <si>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</si>
  <si>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</si>
  <si>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</si>
  <si>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</si>
  <si>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</si>
  <si>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</si>
  <si>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</si>
  <si>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</si>
  <si>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</si>
  <si>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</si>
  <si>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</si>
  <si>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</si>
  <si>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</si>
  <si>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</si>
  <si>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</si>
  <si>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</si>
  <si>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</si>
  <si>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</si>
  <si>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</si>
  <si>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</si>
  <si>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</si>
  <si>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</si>
  <si>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</si>
  <si>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</si>
  <si>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</si>
  <si>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</si>
  <si>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</si>
  <si>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</si>
  <si>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</si>
  <si>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</si>
  <si>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</si>
  <si>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</si>
  <si>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</si>
  <si>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</si>
  <si>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</si>
  <si>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</si>
  <si>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</si>
  <si>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</si>
  <si>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</si>
  <si>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</si>
  <si>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</si>
  <si>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</si>
  <si>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</si>
  <si>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</si>
  <si>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</si>
  <si>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</si>
  <si>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</si>
  <si>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</si>
  <si>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</si>
  <si>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</si>
  <si>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only manure</t>
  </si>
  <si>
    <t>Yes</t>
  </si>
  <si>
    <t>Yes using a solar pump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</si>
  <si>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</si>
  <si>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</si>
  <si>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</si>
  <si>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</si>
  <si>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</si>
  <si>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</si>
  <si>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</si>
  <si>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</si>
  <si>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</si>
  <si>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</si>
  <si>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</si>
  <si>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</si>
  <si>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</si>
  <si>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</si>
  <si>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</si>
  <si>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</si>
  <si>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</si>
  <si>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</si>
  <si>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shop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</si>
  <si>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</si>
  <si>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</si>
  <si>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</si>
  <si>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</si>
  <si>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</si>
  <si>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</si>
  <si>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</si>
  <si>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</si>
  <si>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</si>
  <si>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</si>
  <si>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</si>
  <si>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</si>
  <si>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</si>
  <si>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</si>
  <si>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</si>
  <si>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</si>
  <si>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</si>
  <si>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</si>
  <si>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</si>
  <si>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</si>
  <si>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</si>
  <si>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</si>
  <si>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</si>
  <si>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</si>
  <si>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</si>
  <si>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</si>
  <si>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</si>
  <si>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</si>
  <si>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</si>
  <si>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</si>
  <si>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</si>
  <si>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</si>
  <si>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</si>
  <si>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</si>
  <si>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</si>
  <si>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</si>
  <si>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</si>
  <si>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</si>
  <si>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</si>
  <si>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</si>
  <si>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</si>
  <si>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</si>
  <si>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</si>
  <si>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</si>
  <si>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</si>
  <si>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</si>
  <si>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</si>
  <si>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</si>
  <si>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</si>
  <si>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</si>
  <si>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</si>
  <si>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</si>
  <si>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</si>
  <si>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</si>
  <si>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</si>
  <si>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</si>
  <si>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</si>
  <si>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</si>
  <si>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</si>
  <si>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</si>
  <si>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</si>
  <si>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</si>
  <si>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</si>
  <si>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</si>
  <si>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</si>
  <si>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</si>
  <si>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</si>
  <si>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</si>
  <si>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</si>
  <si>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</si>
  <si>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</si>
  <si>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</si>
  <si>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</si>
  <si>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</si>
  <si>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</si>
  <si>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</si>
  <si>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</si>
  <si>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</si>
  <si>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</si>
  <si>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</si>
  <si>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</si>
  <si>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</si>
  <si>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</si>
  <si>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</si>
  <si>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</si>
  <si>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</si>
  <si>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</si>
  <si>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</si>
  <si>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</si>
  <si>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</si>
  <si>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</si>
  <si>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</si>
  <si>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</si>
  <si>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</si>
  <si>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</si>
  <si>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</si>
  <si>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</si>
  <si>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</si>
  <si>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</si>
  <si>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</si>
  <si>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</si>
  <si>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</si>
  <si>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</si>
  <si>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</si>
  <si>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</si>
  <si>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</si>
  <si>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</si>
  <si>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</si>
  <si>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</si>
  <si>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</si>
  <si>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</si>
  <si>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</si>
  <si>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</si>
  <si>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</si>
  <si>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</si>
  <si>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</si>
  <si>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</si>
  <si>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</si>
  <si>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</si>
  <si>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</si>
  <si>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</si>
  <si>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</si>
  <si>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</si>
  <si>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</si>
  <si>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</si>
  <si>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</si>
  <si>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</si>
  <si>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</si>
  <si>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</si>
  <si>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</si>
  <si>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</si>
  <si>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</si>
  <si>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</si>
  <si>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</si>
  <si>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</si>
  <si>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</si>
  <si>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</si>
  <si>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</si>
  <si>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</si>
  <si>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</si>
  <si>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</si>
  <si>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</si>
  <si>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</si>
  <si>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</si>
  <si>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</si>
  <si>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</si>
  <si>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</si>
  <si>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</si>
  <si>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</si>
  <si>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</si>
  <si>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</si>
  <si>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</si>
  <si>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</si>
  <si>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</si>
  <si>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</si>
  <si>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</si>
  <si>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</si>
  <si>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</si>
  <si>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</si>
  <si>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</si>
  <si>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</si>
  <si>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</si>
  <si>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</si>
  <si>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</si>
  <si>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</si>
  <si>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</si>
  <si>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</si>
  <si>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</si>
  <si>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</si>
  <si>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</si>
  <si>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</si>
  <si>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</si>
  <si>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</si>
  <si>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</si>
  <si>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</si>
  <si>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</si>
  <si>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</si>
  <si>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</si>
  <si>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</si>
  <si>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</si>
  <si>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</si>
  <si>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</si>
  <si>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</si>
  <si>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</si>
  <si>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</si>
  <si>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</si>
  <si>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</si>
  <si>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</si>
  <si>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</si>
  <si>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</si>
  <si>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</si>
  <si>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</si>
  <si>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</si>
  <si>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</si>
  <si>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</si>
  <si>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</si>
  <si>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</si>
  <si>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</si>
  <si>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</si>
  <si>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</si>
  <si>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</si>
  <si>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</si>
  <si>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</si>
  <si>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</si>
  <si>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</si>
  <si>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</si>
  <si>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</si>
  <si>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</si>
  <si>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</si>
  <si>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</si>
  <si>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</si>
  <si>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</si>
  <si>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</si>
  <si>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</si>
  <si>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</si>
  <si>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</si>
  <si>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</si>
  <si>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</si>
  <si>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</si>
  <si>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</si>
  <si>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</si>
  <si>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</si>
  <si>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</si>
  <si>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</si>
  <si>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</si>
  <si>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</si>
  <si>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</si>
  <si>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</si>
  <si>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</si>
  <si>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</si>
  <si>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</si>
  <si>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</si>
  <si>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</si>
  <si>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</si>
  <si>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</si>
  <si>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</si>
  <si>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Sometimes</t>
  </si>
  <si>
    <t>Weeks</t>
  </si>
  <si>
    <t>Other farmers</t>
  </si>
  <si>
    <t>Yes inorganic fertilizers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</si>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</sst>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September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shop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0.8471033920353992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2018</v>
      </c>
    </row>
    <row r="13" spans="1:7">
      <c r="B13" s="1" t="s">
        <v>8</v>
      </c>
      <c r="C13" s="67">
        <f>IFERROR(Output!B107/Output!B101,"")</f>
        <v>0.01502086230876217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45833.33333333333</v>
      </c>
    </row>
    <row r="17" spans="1:7">
      <c r="B17" s="1" t="s">
        <v>11</v>
      </c>
      <c r="C17" s="36">
        <f>SUM(Output!B6:M6)</f>
        <v>129375.4803599999</v>
      </c>
    </row>
    <row r="18" spans="1:7">
      <c r="B18" s="1" t="s">
        <v>12</v>
      </c>
      <c r="C18" s="36">
        <f>MIN(Output!B6:M6)</f>
        <v>8947.956696666664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10947.95669666666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0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10947.95669666666</v>
      </c>
      <c r="C6" s="51">
        <f>C30-C88</f>
        <v>10947.95669666666</v>
      </c>
      <c r="D6" s="51">
        <f>D30-D88</f>
        <v>10947.95669666666</v>
      </c>
      <c r="E6" s="51">
        <f>E30-E88</f>
        <v>10947.95669666666</v>
      </c>
      <c r="F6" s="51">
        <f>F30-F88</f>
        <v>8947.956696666664</v>
      </c>
      <c r="G6" s="51">
        <f>G30-G88</f>
        <v>10947.95669666666</v>
      </c>
      <c r="H6" s="51">
        <f>H30-H88</f>
        <v>10947.95669666666</v>
      </c>
      <c r="I6" s="51">
        <f>I30-I88</f>
        <v>10947.95669666666</v>
      </c>
      <c r="J6" s="51">
        <f>J30-J88</f>
        <v>10947.95669666666</v>
      </c>
      <c r="K6" s="51">
        <f>K30-K88</f>
        <v>10947.95669666666</v>
      </c>
      <c r="L6" s="51">
        <f>L30-L88</f>
        <v>10947.95669666666</v>
      </c>
      <c r="M6" s="51">
        <f>M30-M88</f>
        <v>10947.95669666666</v>
      </c>
      <c r="N6" s="51">
        <f>N30-N88</f>
        <v>10947.95669666666</v>
      </c>
      <c r="O6" s="51">
        <f>O30-O88</f>
        <v>10947.95669666666</v>
      </c>
      <c r="P6" s="51">
        <f>P30-P88</f>
        <v>10947.95669666666</v>
      </c>
      <c r="Q6" s="51">
        <f>Q30-Q88</f>
        <v>10947.95669666666</v>
      </c>
      <c r="R6" s="51">
        <f>R30-R88</f>
        <v>8947.956696666664</v>
      </c>
      <c r="S6" s="51">
        <f>S30-S88</f>
        <v>10947.95669666666</v>
      </c>
      <c r="T6" s="51">
        <f>T30-T88</f>
        <v>10947.95669666666</v>
      </c>
      <c r="U6" s="51">
        <f>U30-U88</f>
        <v>10947.95669666666</v>
      </c>
      <c r="V6" s="51">
        <f>V30-V88</f>
        <v>10947.95669666666</v>
      </c>
      <c r="W6" s="51">
        <f>W30-W88</f>
        <v>10947.95669666666</v>
      </c>
      <c r="X6" s="51">
        <f>X30-X88</f>
        <v>10947.95669666666</v>
      </c>
      <c r="Y6" s="51">
        <f>Y30-Y88</f>
        <v>10947.95669666666</v>
      </c>
      <c r="Z6" s="51">
        <f>SUMIF($B$13:$Y$13,"Yes",B6:Y6)</f>
        <v>74635.69687666664</v>
      </c>
      <c r="AA6" s="51">
        <f>AA30-AA88</f>
        <v>129375.48036</v>
      </c>
      <c r="AB6" s="51">
        <f>AB30-AB88</f>
        <v>258750.9607200001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9000</v>
      </c>
      <c r="C7" s="80">
        <f>IF(ISERROR(VLOOKUP(MONTH(C5),Inputs!$D$66:$D$71,1,0)),"",INDEX(Inputs!$B$66:$B$71,MATCH(MONTH(Output!C5),Inputs!$D$66:$D$71,0))-INDEX(Inputs!$C$66:$C$71,MATCH(MONTH(Output!C5),Inputs!$D$66:$D$71,0)))</f>
        <v>11213</v>
      </c>
      <c r="D7" s="80">
        <f>IF(ISERROR(VLOOKUP(MONTH(D5),Inputs!$D$66:$D$71,1,0)),"",INDEX(Inputs!$B$66:$B$71,MATCH(MONTH(Output!D5),Inputs!$D$66:$D$71,0))-INDEX(Inputs!$C$66:$C$71,MATCH(MONTH(Output!D5),Inputs!$D$66:$D$71,0)))</f>
        <v>87700</v>
      </c>
      <c r="E7" s="80">
        <f>IF(ISERROR(VLOOKUP(MONTH(E5),Inputs!$D$66:$D$71,1,0)),"",INDEX(Inputs!$B$66:$B$71,MATCH(MONTH(Output!E5),Inputs!$D$66:$D$71,0))-INDEX(Inputs!$C$66:$C$71,MATCH(MONTH(Output!E5),Inputs!$D$66:$D$71,0)))</f>
        <v>8129</v>
      </c>
      <c r="F7" s="80">
        <f>IF(ISERROR(VLOOKUP(MONTH(F5),Inputs!$D$66:$D$71,1,0)),"",INDEX(Inputs!$B$66:$B$71,MATCH(MONTH(Output!F5),Inputs!$D$66:$D$71,0))-INDEX(Inputs!$C$66:$C$71,MATCH(MONTH(Output!F5),Inputs!$D$66:$D$71,0)))</f>
        <v>20700</v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>
        <f>IF(ISERROR(VLOOKUP(MONTH(M5),Inputs!$D$66:$D$71,1,0)),"",INDEX(Inputs!$B$66:$B$71,MATCH(MONTH(Output!M5),Inputs!$D$66:$D$71,0))-INDEX(Inputs!$C$66:$C$71,MATCH(MONTH(Output!M5),Inputs!$D$66:$D$71,0)))</f>
        <v>5000</v>
      </c>
      <c r="N7" s="80">
        <f>IF(ISERROR(VLOOKUP(MONTH(N5),Inputs!$D$66:$D$71,1,0)),"",INDEX(Inputs!$B$66:$B$71,MATCH(MONTH(Output!N5),Inputs!$D$66:$D$71,0))-INDEX(Inputs!$C$66:$C$71,MATCH(MONTH(Output!N5),Inputs!$D$66:$D$71,0)))</f>
        <v>9000</v>
      </c>
      <c r="O7" s="80">
        <f>IF(ISERROR(VLOOKUP(MONTH(O5),Inputs!$D$66:$D$71,1,0)),"",INDEX(Inputs!$B$66:$B$71,MATCH(MONTH(Output!O5),Inputs!$D$66:$D$71,0))-INDEX(Inputs!$C$66:$C$71,MATCH(MONTH(Output!O5),Inputs!$D$66:$D$71,0)))</f>
        <v>11213</v>
      </c>
      <c r="P7" s="80">
        <f>IF(ISERROR(VLOOKUP(MONTH(P5),Inputs!$D$66:$D$71,1,0)),"",INDEX(Inputs!$B$66:$B$71,MATCH(MONTH(Output!P5),Inputs!$D$66:$D$71,0))-INDEX(Inputs!$C$66:$C$71,MATCH(MONTH(Output!P5),Inputs!$D$66:$D$71,0)))</f>
        <v>87700</v>
      </c>
      <c r="Q7" s="80">
        <f>IF(ISERROR(VLOOKUP(MONTH(Q5),Inputs!$D$66:$D$71,1,0)),"",INDEX(Inputs!$B$66:$B$71,MATCH(MONTH(Output!Q5),Inputs!$D$66:$D$71,0))-INDEX(Inputs!$C$66:$C$71,MATCH(MONTH(Output!Q5),Inputs!$D$66:$D$71,0)))</f>
        <v>8129</v>
      </c>
      <c r="R7" s="80">
        <f>IF(ISERROR(VLOOKUP(MONTH(R5),Inputs!$D$66:$D$71,1,0)),"",INDEX(Inputs!$B$66:$B$71,MATCH(MONTH(Output!R5),Inputs!$D$66:$D$71,0))-INDEX(Inputs!$C$66:$C$71,MATCH(MONTH(Output!R5),Inputs!$D$66:$D$71,0)))</f>
        <v>20700</v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>
        <f>IF(ISERROR(VLOOKUP(MONTH(Y5),Inputs!$D$66:$D$71,1,0)),"",INDEX(Inputs!$B$66:$B$71,MATCH(MONTH(Output!Y5),Inputs!$D$66:$D$71,0))-INDEX(Inputs!$C$66:$C$71,MATCH(MONTH(Output!Y5),Inputs!$D$66:$D$71,0)))</f>
        <v>5000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45833.33333333333</v>
      </c>
      <c r="D10" s="37">
        <f>SUMPRODUCT((Calculations!$D$33:$D$84=Output!D5)+0,Calculations!$C$33:$C$84)</f>
        <v>45833.33333333333</v>
      </c>
      <c r="E10" s="37">
        <f>SUMPRODUCT((Calculations!$D$33:$D$84=Output!E5)+0,Calculations!$C$33:$C$84)</f>
        <v>45833.33333333333</v>
      </c>
      <c r="F10" s="37">
        <f>SUMPRODUCT((Calculations!$D$33:$D$84=Output!F5)+0,Calculations!$C$33:$C$84)</f>
        <v>45833.33333333333</v>
      </c>
      <c r="G10" s="37">
        <f>SUMPRODUCT((Calculations!$D$33:$D$84=Output!G5)+0,Calculations!$C$33:$C$84)</f>
        <v>45833.33333333333</v>
      </c>
      <c r="H10" s="37">
        <f>SUMPRODUCT((Calculations!$D$33:$D$84=Output!H5)+0,Calculations!$C$33:$C$84)</f>
        <v>45833.33333333333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274999.9999999999</v>
      </c>
      <c r="AA10" s="37">
        <f>SUM(B10:M10)</f>
        <v>274999.9999999999</v>
      </c>
      <c r="AB10" s="37">
        <f>SUM(B10:Y10)</f>
        <v>274999.9999999999</v>
      </c>
    </row>
    <row r="11" spans="1:30" customHeight="1" ht="15.75">
      <c r="A11" s="43" t="s">
        <v>31</v>
      </c>
      <c r="B11" s="80">
        <f>B6+B9-B10</f>
        <v>260947.9566966667</v>
      </c>
      <c r="C11" s="80">
        <f>C6+C9-C10</f>
        <v>-34885.37663666667</v>
      </c>
      <c r="D11" s="80">
        <f>D6+D9-D10</f>
        <v>-34885.37663666667</v>
      </c>
      <c r="E11" s="80">
        <f>E6+E9-E10</f>
        <v>-34885.37663666667</v>
      </c>
      <c r="F11" s="80">
        <f>F6+F9-F10</f>
        <v>-36885.37663666667</v>
      </c>
      <c r="G11" s="80">
        <f>G6+G9-G10</f>
        <v>-34885.37663666667</v>
      </c>
      <c r="H11" s="80">
        <f>H6+H9-H10</f>
        <v>-34885.37663666667</v>
      </c>
      <c r="I11" s="80">
        <f>I6+I9-I10</f>
        <v>10947.95669666666</v>
      </c>
      <c r="J11" s="80">
        <f>J6+J9-J10</f>
        <v>10947.95669666666</v>
      </c>
      <c r="K11" s="80">
        <f>K6+K9-K10</f>
        <v>10947.95669666666</v>
      </c>
      <c r="L11" s="80">
        <f>L6+L9-L10</f>
        <v>10947.95669666666</v>
      </c>
      <c r="M11" s="80">
        <f>M6+M9-M10</f>
        <v>10947.95669666666</v>
      </c>
      <c r="N11" s="80">
        <f>N6+N9-N10</f>
        <v>10947.95669666666</v>
      </c>
      <c r="O11" s="80">
        <f>O6+O9-O10</f>
        <v>10947.95669666666</v>
      </c>
      <c r="P11" s="80">
        <f>P6+P9-P10</f>
        <v>10947.95669666666</v>
      </c>
      <c r="Q11" s="80">
        <f>Q6+Q9-Q10</f>
        <v>10947.95669666666</v>
      </c>
      <c r="R11" s="80">
        <f>R6+R9-R10</f>
        <v>8947.956696666664</v>
      </c>
      <c r="S11" s="80">
        <f>S6+S9-S10</f>
        <v>10947.95669666666</v>
      </c>
      <c r="T11" s="80">
        <f>T6+T9-T10</f>
        <v>10947.95669666666</v>
      </c>
      <c r="U11" s="80">
        <f>U6+U9-U10</f>
        <v>10947.95669666666</v>
      </c>
      <c r="V11" s="80">
        <f>V6+V9-V10</f>
        <v>10947.95669666666</v>
      </c>
      <c r="W11" s="80">
        <f>W6+W9-W10</f>
        <v>10947.95669666666</v>
      </c>
      <c r="X11" s="80">
        <f>X6+X9-X10</f>
        <v>10947.95669666666</v>
      </c>
      <c r="Y11" s="80">
        <f>Y6+Y9-Y10</f>
        <v>10947.95669666666</v>
      </c>
      <c r="Z11" s="85">
        <f>SUMIF($B$13:$Y$13,"Yes",B11:Y11)</f>
        <v>49635.6968766667</v>
      </c>
      <c r="AA11" s="80">
        <f>SUM(B11:M11)</f>
        <v>104375.48036</v>
      </c>
      <c r="AB11" s="46">
        <f>SUM(B11:Y11)</f>
        <v>233750.9607199999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0.1685694086436281</v>
      </c>
      <c r="D12" s="82">
        <f>IF(D13="Yes",IF(SUM($B$10:D10)/(SUM($B$6:D6)+SUM($B$9:D9))&lt;0,999.99,SUM($B$10:D10)/(SUM($B$6:D6)+SUM($B$9:D9))),"")</f>
        <v>0.3240892816149724</v>
      </c>
      <c r="E12" s="82">
        <f>IF(E13="Yes",IF(SUM($B$10:E10)/(SUM($B$6:E6)+SUM($B$9:E9))&lt;0,999.99,SUM($B$10:E10)/(SUM($B$6:E6)+SUM($B$9:E9))),"")</f>
        <v>0.4680184656731242</v>
      </c>
      <c r="F12" s="82">
        <f>IF(F13="Yes",IF(SUM($B$10:F10)/(SUM($B$6:F6)+SUM($B$9:F9))&lt;0,999.99,SUM($B$10:F10)/(SUM($B$6:F6)+SUM($B$9:F9))),"")</f>
        <v>0.6055805788849232</v>
      </c>
      <c r="G12" s="82">
        <f>IF(G13="Yes",IF(SUM($B$10:G10)/(SUM($B$6:G6)+SUM($B$9:G9))&lt;0,999.99,SUM($B$10:G10)/(SUM($B$6:G6)+SUM($B$9:G9))),"")</f>
        <v>0.7305566565501299</v>
      </c>
      <c r="H12" s="82">
        <f>IF(H13="Yes",IF(SUM($B$10:H10)/(SUM($B$6:H6)+SUM($B$9:H9))&lt;0,999.99,SUM($B$10:H10)/(SUM($B$6:H6)+SUM($B$9:H9))),"")</f>
        <v>0.8471033920353992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13302.15005</v>
      </c>
      <c r="C18" s="36">
        <f>O18</f>
        <v>13302.15005</v>
      </c>
      <c r="D18" s="36">
        <f>P18</f>
        <v>13302.15005</v>
      </c>
      <c r="E18" s="36">
        <f>Q18</f>
        <v>13302.15005</v>
      </c>
      <c r="F18" s="36">
        <f>R18</f>
        <v>13302.15005</v>
      </c>
      <c r="G18" s="36">
        <f>S18</f>
        <v>13302.15005</v>
      </c>
      <c r="H18" s="36">
        <f>T18</f>
        <v>13302.15005</v>
      </c>
      <c r="I18" s="36">
        <f>U18</f>
        <v>13302.15005</v>
      </c>
      <c r="J18" s="36">
        <f>V18</f>
        <v>13302.15005</v>
      </c>
      <c r="K18" s="36">
        <f>W18</f>
        <v>13302.15005</v>
      </c>
      <c r="L18" s="36">
        <f>X18</f>
        <v>13302.15005</v>
      </c>
      <c r="M18" s="36">
        <f>Y18</f>
        <v>13302.15005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13302.15005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13302.15005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13302.15005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13302.15005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13302.15005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13302.15005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13302.15005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13302.15005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13302.15005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13302.15005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13302.15005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13302.15005</v>
      </c>
      <c r="Z18" s="36">
        <f>SUMIF($B$13:$Y$13,"Yes",B18:Y18)</f>
        <v>93115.05034999999</v>
      </c>
      <c r="AA18" s="36">
        <f>SUM(B18:M18)</f>
        <v>159625.8006</v>
      </c>
      <c r="AB18" s="36">
        <f>SUM(B18:Y18)</f>
        <v>319251.6012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105000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28302.15005</v>
      </c>
      <c r="C30" s="19">
        <f>SUM(C18:C29)</f>
        <v>28302.15005</v>
      </c>
      <c r="D30" s="19">
        <f>SUM(D18:D29)</f>
        <v>28302.15005</v>
      </c>
      <c r="E30" s="19">
        <f>SUM(E18:E29)</f>
        <v>28302.15005</v>
      </c>
      <c r="F30" s="19">
        <f>SUM(F18:F29)</f>
        <v>28302.15005</v>
      </c>
      <c r="G30" s="19">
        <f>SUM(G18:G29)</f>
        <v>28302.15005</v>
      </c>
      <c r="H30" s="19">
        <f>SUM(H18:H29)</f>
        <v>28302.15005</v>
      </c>
      <c r="I30" s="19">
        <f>SUM(I18:I29)</f>
        <v>28302.15005</v>
      </c>
      <c r="J30" s="19">
        <f>SUM(J18:J29)</f>
        <v>28302.15005</v>
      </c>
      <c r="K30" s="19">
        <f>SUM(K18:K29)</f>
        <v>28302.15005</v>
      </c>
      <c r="L30" s="19">
        <f>SUM(L18:L29)</f>
        <v>28302.15005</v>
      </c>
      <c r="M30" s="19">
        <f>SUM(M18:M29)</f>
        <v>28302.15005</v>
      </c>
      <c r="N30" s="19">
        <f>SUM(N18:N29)</f>
        <v>28302.15005</v>
      </c>
      <c r="O30" s="19">
        <f>SUM(O18:O29)</f>
        <v>28302.15005</v>
      </c>
      <c r="P30" s="19">
        <f>SUM(P18:P29)</f>
        <v>28302.15005</v>
      </c>
      <c r="Q30" s="19">
        <f>SUM(Q18:Q29)</f>
        <v>28302.15005</v>
      </c>
      <c r="R30" s="19">
        <f>SUM(R18:R29)</f>
        <v>28302.15005</v>
      </c>
      <c r="S30" s="19">
        <f>SUM(S18:S29)</f>
        <v>28302.15005</v>
      </c>
      <c r="T30" s="19">
        <f>SUM(T18:T29)</f>
        <v>28302.15005</v>
      </c>
      <c r="U30" s="19">
        <f>SUM(U18:U29)</f>
        <v>28302.15005</v>
      </c>
      <c r="V30" s="19">
        <f>SUM(V18:V29)</f>
        <v>28302.15005</v>
      </c>
      <c r="W30" s="19">
        <f>SUM(W18:W29)</f>
        <v>28302.15005</v>
      </c>
      <c r="X30" s="19">
        <f>SUM(X18:X29)</f>
        <v>28302.15005</v>
      </c>
      <c r="Y30" s="19">
        <f>SUM(Y18:Y29)</f>
        <v>28302.15005</v>
      </c>
      <c r="Z30" s="19">
        <f>SUMIF($B$13:$Y$13,"Yes",B30:Y30)</f>
        <v>198115.05035</v>
      </c>
      <c r="AA30" s="19">
        <f>SUM(B30:M30)</f>
        <v>339625.8006</v>
      </c>
      <c r="AB30" s="19">
        <f>SUM(B30:Y30)</f>
        <v>679251.6012000002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166.6666666666667</v>
      </c>
      <c r="C36" s="36">
        <f>O36</f>
        <v>166.6666666666667</v>
      </c>
      <c r="D36" s="36">
        <f>P36</f>
        <v>166.6666666666667</v>
      </c>
      <c r="E36" s="36">
        <f>Q36</f>
        <v>166.6666666666667</v>
      </c>
      <c r="F36" s="36">
        <f>R36</f>
        <v>166.6666666666667</v>
      </c>
      <c r="G36" s="36">
        <f>S36</f>
        <v>166.6666666666667</v>
      </c>
      <c r="H36" s="36">
        <f>T36</f>
        <v>166.6666666666667</v>
      </c>
      <c r="I36" s="36">
        <f>U36</f>
        <v>166.6666666666667</v>
      </c>
      <c r="J36" s="36">
        <f>V36</f>
        <v>166.6666666666667</v>
      </c>
      <c r="K36" s="36">
        <f>W36</f>
        <v>166.6666666666667</v>
      </c>
      <c r="L36" s="36">
        <f>X36</f>
        <v>166.6666666666667</v>
      </c>
      <c r="M36" s="36">
        <f>Y36</f>
        <v>166.6666666666667</v>
      </c>
      <c r="N36" s="36">
        <f>SUM(N37:N41)</f>
        <v>166.6666666666667</v>
      </c>
      <c r="O36" s="36">
        <f>SUM(O37:O41)</f>
        <v>166.6666666666667</v>
      </c>
      <c r="P36" s="36">
        <f>SUM(P37:P41)</f>
        <v>166.6666666666667</v>
      </c>
      <c r="Q36" s="36">
        <f>SUM(Q37:Q41)</f>
        <v>166.6666666666667</v>
      </c>
      <c r="R36" s="36">
        <f>SUM(R37:R41)</f>
        <v>166.6666666666667</v>
      </c>
      <c r="S36" s="36">
        <f>SUM(S37:S41)</f>
        <v>166.6666666666667</v>
      </c>
      <c r="T36" s="36">
        <f>SUM(T37:T41)</f>
        <v>166.6666666666667</v>
      </c>
      <c r="U36" s="36">
        <f>SUM(U37:U41)</f>
        <v>166.6666666666667</v>
      </c>
      <c r="V36" s="36">
        <f>SUM(V37:V41)</f>
        <v>166.6666666666667</v>
      </c>
      <c r="W36" s="36">
        <f>SUM(W37:W41)</f>
        <v>166.6666666666667</v>
      </c>
      <c r="X36" s="36">
        <f>SUM(X37:X41)</f>
        <v>166.6666666666667</v>
      </c>
      <c r="Y36" s="36">
        <f>SUM(Y37:Y41)</f>
        <v>166.6666666666667</v>
      </c>
      <c r="Z36" s="36">
        <f>SUMIF($B$13:$Y$13,"Yes",B36:Y36)</f>
        <v>1166.666666666667</v>
      </c>
      <c r="AA36" s="36">
        <f>SUM(B36:M36)</f>
        <v>2000</v>
      </c>
      <c r="AB36" s="36">
        <f>SUM(B36:Y36)</f>
        <v>3999.999999999999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1166.666666666667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2000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2000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2000</v>
      </c>
      <c r="AA48" s="46">
        <f>SUM(B48:M48)</f>
        <v>2000</v>
      </c>
      <c r="AB48" s="46">
        <f>SUM(B48:Y48)</f>
        <v>4000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2000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2000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2000</v>
      </c>
      <c r="AA49" s="46">
        <f>SUM(B49:M49)</f>
        <v>2000</v>
      </c>
      <c r="AB49" s="46">
        <f>SUM(B49:Y49)</f>
        <v>4000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Bananas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70000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7187.526686666665</v>
      </c>
      <c r="C81" s="46">
        <f>(SUM($AA$18:$AA$29)-SUM($AA$36,$AA$42,$AA$48,$AA$54,$AA$60,$AA$66,$AA$72:$AA$79))*Parameters!$B$37/12</f>
        <v>7187.526686666665</v>
      </c>
      <c r="D81" s="46">
        <f>(SUM($AA$18:$AA$29)-SUM($AA$36,$AA$42,$AA$48,$AA$54,$AA$60,$AA$66,$AA$72:$AA$79))*Parameters!$B$37/12</f>
        <v>7187.526686666665</v>
      </c>
      <c r="E81" s="46">
        <f>(SUM($AA$18:$AA$29)-SUM($AA$36,$AA$42,$AA$48,$AA$54,$AA$60,$AA$66,$AA$72:$AA$79))*Parameters!$B$37/12</f>
        <v>7187.526686666665</v>
      </c>
      <c r="F81" s="46">
        <f>(SUM($AA$18:$AA$29)-SUM($AA$36,$AA$42,$AA$48,$AA$54,$AA$60,$AA$66,$AA$72:$AA$79))*Parameters!$B$37/12</f>
        <v>7187.526686666665</v>
      </c>
      <c r="G81" s="46">
        <f>(SUM($AA$18:$AA$29)-SUM($AA$36,$AA$42,$AA$48,$AA$54,$AA$60,$AA$66,$AA$72:$AA$79))*Parameters!$B$37/12</f>
        <v>7187.526686666665</v>
      </c>
      <c r="H81" s="46">
        <f>(SUM($AA$18:$AA$29)-SUM($AA$36,$AA$42,$AA$48,$AA$54,$AA$60,$AA$66,$AA$72:$AA$79))*Parameters!$B$37/12</f>
        <v>7187.526686666665</v>
      </c>
      <c r="I81" s="46">
        <f>(SUM($AA$18:$AA$29)-SUM($AA$36,$AA$42,$AA$48,$AA$54,$AA$60,$AA$66,$AA$72:$AA$79))*Parameters!$B$37/12</f>
        <v>7187.526686666665</v>
      </c>
      <c r="J81" s="46">
        <f>(SUM($AA$18:$AA$29)-SUM($AA$36,$AA$42,$AA$48,$AA$54,$AA$60,$AA$66,$AA$72:$AA$79))*Parameters!$B$37/12</f>
        <v>7187.526686666665</v>
      </c>
      <c r="K81" s="46">
        <f>(SUM($AA$18:$AA$29)-SUM($AA$36,$AA$42,$AA$48,$AA$54,$AA$60,$AA$66,$AA$72:$AA$79))*Parameters!$B$37/12</f>
        <v>7187.526686666665</v>
      </c>
      <c r="L81" s="46">
        <f>(SUM($AA$18:$AA$29)-SUM($AA$36,$AA$42,$AA$48,$AA$54,$AA$60,$AA$66,$AA$72:$AA$79))*Parameters!$B$37/12</f>
        <v>7187.526686666665</v>
      </c>
      <c r="M81" s="46">
        <f>(SUM($AA$18:$AA$29)-SUM($AA$36,$AA$42,$AA$48,$AA$54,$AA$60,$AA$66,$AA$72:$AA$79))*Parameters!$B$37/12</f>
        <v>7187.526686666665</v>
      </c>
      <c r="N81" s="46">
        <f>(SUM($AA$18:$AA$29)-SUM($AA$36,$AA$42,$AA$48,$AA$54,$AA$60,$AA$66,$AA$72:$AA$79))*Parameters!$B$37/12</f>
        <v>7187.526686666665</v>
      </c>
      <c r="O81" s="46">
        <f>(SUM($AA$18:$AA$29)-SUM($AA$36,$AA$42,$AA$48,$AA$54,$AA$60,$AA$66,$AA$72:$AA$79))*Parameters!$B$37/12</f>
        <v>7187.526686666665</v>
      </c>
      <c r="P81" s="46">
        <f>(SUM($AA$18:$AA$29)-SUM($AA$36,$AA$42,$AA$48,$AA$54,$AA$60,$AA$66,$AA$72:$AA$79))*Parameters!$B$37/12</f>
        <v>7187.526686666665</v>
      </c>
      <c r="Q81" s="46">
        <f>(SUM($AA$18:$AA$29)-SUM($AA$36,$AA$42,$AA$48,$AA$54,$AA$60,$AA$66,$AA$72:$AA$79))*Parameters!$B$37/12</f>
        <v>7187.526686666665</v>
      </c>
      <c r="R81" s="46">
        <f>(SUM($AA$18:$AA$29)-SUM($AA$36,$AA$42,$AA$48,$AA$54,$AA$60,$AA$66,$AA$72:$AA$79))*Parameters!$B$37/12</f>
        <v>7187.526686666665</v>
      </c>
      <c r="S81" s="46">
        <f>(SUM($AA$18:$AA$29)-SUM($AA$36,$AA$42,$AA$48,$AA$54,$AA$60,$AA$66,$AA$72:$AA$79))*Parameters!$B$37/12</f>
        <v>7187.526686666665</v>
      </c>
      <c r="T81" s="46">
        <f>(SUM($AA$18:$AA$29)-SUM($AA$36,$AA$42,$AA$48,$AA$54,$AA$60,$AA$66,$AA$72:$AA$79))*Parameters!$B$37/12</f>
        <v>7187.526686666665</v>
      </c>
      <c r="U81" s="46">
        <f>(SUM($AA$18:$AA$29)-SUM($AA$36,$AA$42,$AA$48,$AA$54,$AA$60,$AA$66,$AA$72:$AA$79))*Parameters!$B$37/12</f>
        <v>7187.526686666665</v>
      </c>
      <c r="V81" s="46">
        <f>(SUM($AA$18:$AA$29)-SUM($AA$36,$AA$42,$AA$48,$AA$54,$AA$60,$AA$66,$AA$72:$AA$79))*Parameters!$B$37/12</f>
        <v>7187.526686666665</v>
      </c>
      <c r="W81" s="46">
        <f>(SUM($AA$18:$AA$29)-SUM($AA$36,$AA$42,$AA$48,$AA$54,$AA$60,$AA$66,$AA$72:$AA$79))*Parameters!$B$37/12</f>
        <v>7187.526686666665</v>
      </c>
      <c r="X81" s="46">
        <f>(SUM($AA$18:$AA$29)-SUM($AA$36,$AA$42,$AA$48,$AA$54,$AA$60,$AA$66,$AA$72:$AA$79))*Parameters!$B$37/12</f>
        <v>7187.526686666665</v>
      </c>
      <c r="Y81" s="46">
        <f>(SUM($AA$18:$AA$29)-SUM($AA$36,$AA$42,$AA$48,$AA$54,$AA$60,$AA$66,$AA$72:$AA$79))*Parameters!$B$37/12</f>
        <v>7187.526686666665</v>
      </c>
      <c r="Z81" s="46">
        <f>SUMIF($B$13:$Y$13,"Yes",B81:Y81)</f>
        <v>50312.68680666666</v>
      </c>
      <c r="AA81" s="46">
        <f>SUM(B81:M81)</f>
        <v>86250.32023999999</v>
      </c>
      <c r="AB81" s="46">
        <f>SUM(B81:Y81)</f>
        <v>172500.64048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17354.19335333333</v>
      </c>
      <c r="C88" s="19">
        <f>SUM(C72:C82,C66,C60,C54,C48,C42,C36)</f>
        <v>17354.19335333333</v>
      </c>
      <c r="D88" s="19">
        <f>SUM(D72:D82,D66,D60,D54,D48,D42,D36)</f>
        <v>17354.19335333333</v>
      </c>
      <c r="E88" s="19">
        <f>SUM(E72:E82,E66,E60,E54,E48,E42,E36)</f>
        <v>17354.19335333333</v>
      </c>
      <c r="F88" s="19">
        <f>SUM(F72:F82,F66,F60,F54,F48,F42,F36)</f>
        <v>19354.19335333333</v>
      </c>
      <c r="G88" s="19">
        <f>SUM(G72:G82,G66,G60,G54,G48,G42,G36)</f>
        <v>17354.19335333333</v>
      </c>
      <c r="H88" s="19">
        <f>SUM(H72:H82,H66,H60,H54,H48,H42,H36)</f>
        <v>17354.19335333333</v>
      </c>
      <c r="I88" s="19">
        <f>SUM(I72:I82,I66,I60,I54,I48,I42,I36)</f>
        <v>17354.19335333333</v>
      </c>
      <c r="J88" s="19">
        <f>SUM(J72:J82,J66,J60,J54,J48,J42,J36)</f>
        <v>17354.19335333333</v>
      </c>
      <c r="K88" s="19">
        <f>SUM(K72:K82,K66,K60,K54,K48,K42,K36)</f>
        <v>17354.19335333333</v>
      </c>
      <c r="L88" s="19">
        <f>SUM(L72:L82,L66,L60,L54,L48,L42,L36)</f>
        <v>17354.19335333333</v>
      </c>
      <c r="M88" s="19">
        <f>SUM(M72:M82,M66,M60,M54,M48,M42,M36)</f>
        <v>17354.19335333333</v>
      </c>
      <c r="N88" s="19">
        <f>SUM(N72:N82,N66,N60,N54,N48,N42,N36)</f>
        <v>17354.19335333333</v>
      </c>
      <c r="O88" s="19">
        <f>SUM(O72:O82,O66,O60,O54,O48,O42,O36)</f>
        <v>17354.19335333333</v>
      </c>
      <c r="P88" s="19">
        <f>SUM(P72:P82,P66,P60,P54,P48,P42,P36)</f>
        <v>17354.19335333333</v>
      </c>
      <c r="Q88" s="19">
        <f>SUM(Q72:Q82,Q66,Q60,Q54,Q48,Q42,Q36)</f>
        <v>17354.19335333333</v>
      </c>
      <c r="R88" s="19">
        <f>SUM(R72:R82,R66,R60,R54,R48,R42,R36)</f>
        <v>19354.19335333333</v>
      </c>
      <c r="S88" s="19">
        <f>SUM(S72:S82,S66,S60,S54,S48,S42,S36)</f>
        <v>17354.19335333333</v>
      </c>
      <c r="T88" s="19">
        <f>SUM(T72:T82,T66,T60,T54,T48,T42,T36)</f>
        <v>17354.19335333333</v>
      </c>
      <c r="U88" s="19">
        <f>SUM(U72:U82,U66,U60,U54,U48,U42,U36)</f>
        <v>17354.19335333333</v>
      </c>
      <c r="V88" s="19">
        <f>SUM(V72:V82,V66,V60,V54,V48,V42,V36)</f>
        <v>17354.19335333333</v>
      </c>
      <c r="W88" s="19">
        <f>SUM(W72:W82,W66,W60,W54,W48,W42,W36)</f>
        <v>17354.19335333333</v>
      </c>
      <c r="X88" s="19">
        <f>SUM(X72:X82,X66,X60,X54,X48,X42,X36)</f>
        <v>17354.19335333333</v>
      </c>
      <c r="Y88" s="19">
        <f>SUM(Y72:Y82,Y66,Y60,Y54,Y48,Y42,Y36)</f>
        <v>17354.19335333333</v>
      </c>
      <c r="Z88" s="19">
        <f>SUMIF($B$13:$Y$13,"Yes",B88:Y88)</f>
        <v>123479.3534733333</v>
      </c>
      <c r="AA88" s="19">
        <f>SUM(B88:M88)</f>
        <v>210250.32024</v>
      </c>
      <c r="AB88" s="19">
        <f>SUM(B88:Y88)</f>
        <v>420500.64048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16500000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25000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17975000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100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15000</v>
      </c>
    </row>
    <row r="31" spans="1:48">
      <c r="A31" s="5" t="s">
        <v>114</v>
      </c>
      <c r="B31" s="158">
        <v>10000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250000</v>
      </c>
    </row>
    <row r="46" spans="1:48" customHeight="1" ht="30">
      <c r="A46" s="57" t="s">
        <v>128</v>
      </c>
      <c r="B46" s="161">
        <v>25000</v>
      </c>
    </row>
    <row r="47" spans="1:48" customHeight="1" ht="30">
      <c r="A47" s="57" t="s">
        <v>129</v>
      </c>
      <c r="B47" s="161">
        <v>150000</v>
      </c>
    </row>
    <row r="48" spans="1:48" customHeight="1" ht="30">
      <c r="A48" s="57" t="s">
        <v>130</v>
      </c>
      <c r="B48" s="161">
        <v>1000000</v>
      </c>
    </row>
    <row r="49" spans="1:48" customHeight="1" ht="30">
      <c r="A49" s="57" t="s">
        <v>131</v>
      </c>
      <c r="B49" s="161">
        <v>50000</v>
      </c>
    </row>
    <row r="50" spans="1:48">
      <c r="A50" s="43"/>
      <c r="B50" s="36"/>
    </row>
    <row r="51" spans="1:48">
      <c r="A51" s="58" t="s">
        <v>132</v>
      </c>
      <c r="B51" s="161">
        <v>20000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141</v>
      </c>
      <c r="C65" s="10" t="s">
        <v>142</v>
      </c>
    </row>
    <row r="66" spans="1:48">
      <c r="A66" s="142" t="s">
        <v>143</v>
      </c>
      <c r="B66" s="159">
        <v>200000</v>
      </c>
      <c r="C66" s="163">
        <v>195000</v>
      </c>
      <c r="D66" s="49">
        <f>INDEX(Parameters!$D$79:$D$90,MATCH(Inputs!A66,Parameters!$C$79:$C$90,0))</f>
        <v>1</v>
      </c>
    </row>
    <row r="67" spans="1:48">
      <c r="A67" s="143" t="s">
        <v>144</v>
      </c>
      <c r="B67" s="157">
        <v>154000</v>
      </c>
      <c r="C67" s="165">
        <v>145000</v>
      </c>
      <c r="D67" s="49">
        <f>INDEX(Parameters!$D$79:$D$90,MATCH(Inputs!A67,Parameters!$C$79:$C$90,0))</f>
        <v>2</v>
      </c>
    </row>
    <row r="68" spans="1:48">
      <c r="A68" s="143" t="s">
        <v>145</v>
      </c>
      <c r="B68" s="157">
        <v>265800</v>
      </c>
      <c r="C68" s="165">
        <v>254587</v>
      </c>
      <c r="D68" s="49">
        <f>INDEX(Parameters!$D$79:$D$90,MATCH(Inputs!A68,Parameters!$C$79:$C$90,0))</f>
        <v>3</v>
      </c>
    </row>
    <row r="69" spans="1:48">
      <c r="A69" s="143" t="s">
        <v>146</v>
      </c>
      <c r="B69" s="157">
        <v>545580</v>
      </c>
      <c r="C69" s="165">
        <v>457880</v>
      </c>
      <c r="D69" s="49">
        <f>INDEX(Parameters!$D$79:$D$90,MATCH(Inputs!A69,Parameters!$C$79:$C$90,0))</f>
        <v>4</v>
      </c>
    </row>
    <row r="70" spans="1:48">
      <c r="A70" s="143" t="s">
        <v>147</v>
      </c>
      <c r="B70" s="157">
        <v>254000</v>
      </c>
      <c r="C70" s="165">
        <v>245871</v>
      </c>
      <c r="D70" s="49">
        <f>INDEX(Parameters!$D$79:$D$90,MATCH(Inputs!A70,Parameters!$C$79:$C$90,0))</f>
        <v>5</v>
      </c>
    </row>
    <row r="71" spans="1:48">
      <c r="A71" s="144" t="s">
        <v>94</v>
      </c>
      <c r="B71" s="158">
        <v>145278</v>
      </c>
      <c r="C71" s="167">
        <v>124578</v>
      </c>
      <c r="D71" s="49">
        <f>INDEX(Parameters!$D$79:$D$90,MATCH(Inputs!A71,Parameters!$C$79:$C$90,0))</f>
        <v>6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2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250000</v>
      </c>
    </row>
    <row r="82" spans="1:48">
      <c r="A82" t="s">
        <v>157</v>
      </c>
      <c r="B82" s="161">
        <v>20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6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43252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7601.228599999999</v>
      </c>
      <c r="M4" s="25">
        <f>L4*H4</f>
        <v>7601.228599999999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159625.8006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 Zimmerman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45833.33333333333</v>
      </c>
      <c r="D33" s="170">
        <f>IFERROR(DATE(YEAR(B33),MONTH(B33),1)," ")</f>
        <v>43160</v>
      </c>
      <c r="F33" t="s">
        <v>153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45833.33333333333</v>
      </c>
      <c r="D34" s="170">
        <f>IFERROR(DATE(YEAR(B34),MONTH(B34),1)," ")</f>
        <v>43191</v>
      </c>
      <c r="F34" t="s">
        <v>154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45833.33333333333</v>
      </c>
      <c r="D35" s="170">
        <f>IFERROR(DATE(YEAR(B35),MONTH(B35),1)," ")</f>
        <v>43221</v>
      </c>
      <c r="F35" t="s">
        <v>156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45833.33333333333</v>
      </c>
      <c r="D36" s="170">
        <f>IFERROR(DATE(YEAR(B36),MONTH(B36),1)," ")</f>
        <v>43252</v>
      </c>
      <c r="F36" t="s">
        <v>157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45833.33333333333</v>
      </c>
      <c r="D37" s="170">
        <f>IFERROR(DATE(YEAR(B37),MONTH(B37),1)," ")</f>
        <v>43282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45833.33333333333</v>
      </c>
      <c r="D38" s="170">
        <f>IFERROR(DATE(YEAR(B38),MONTH(B38),1)," ")</f>
        <v>43313</v>
      </c>
      <c r="F38" t="s">
        <v>219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220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221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194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289</v>
      </c>
      <c r="B24" s="21" t="s">
        <v>290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291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294</v>
      </c>
      <c r="B26" s="16" t="s">
        <v>290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295</v>
      </c>
      <c r="B27" s="71" t="s">
        <v>290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290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297</v>
      </c>
      <c r="B29" s="118" t="s">
        <v>290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96</v>
      </c>
      <c r="B41" s="191" t="s">
        <v>307</v>
      </c>
      <c r="C41" s="191" t="s">
        <v>92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289</v>
      </c>
      <c r="B43" s="72">
        <v>450</v>
      </c>
      <c r="C43" s="72">
        <v>250</v>
      </c>
    </row>
    <row r="44" spans="1:36">
      <c r="A44" t="s">
        <v>291</v>
      </c>
      <c r="B44" s="72">
        <v>50000</v>
      </c>
      <c r="C44" s="72">
        <v>200000</v>
      </c>
    </row>
    <row r="45" spans="1:36">
      <c r="A45" t="s">
        <v>294</v>
      </c>
      <c r="B45" s="72">
        <v>25000</v>
      </c>
      <c r="C45" s="72">
        <v>50000</v>
      </c>
    </row>
    <row r="46" spans="1:36">
      <c r="A46" t="s">
        <v>295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297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309</v>
      </c>
      <c r="H52" s="12" t="s">
        <v>125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222</v>
      </c>
      <c r="E53" s="10" t="s">
        <v>181</v>
      </c>
      <c r="F53" s="10" t="s">
        <v>241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307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307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307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307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307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307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307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159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218</v>
      </c>
      <c r="J76" s="11" t="s">
        <v>343</v>
      </c>
      <c r="K76" s="11" t="s">
        <v>171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307</v>
      </c>
      <c r="F77" s="12" t="s">
        <v>307</v>
      </c>
      <c r="G77" s="12" t="s">
        <v>345</v>
      </c>
      <c r="H77" s="12" t="s">
        <v>125</v>
      </c>
      <c r="I77" s="12" t="s">
        <v>346</v>
      </c>
      <c r="J77" s="136" t="s">
        <v>90</v>
      </c>
      <c r="K77" s="12" t="s">
        <v>307</v>
      </c>
      <c r="AJ77" s="12"/>
    </row>
    <row r="78" spans="1:36">
      <c r="A78" t="s">
        <v>307</v>
      </c>
      <c r="B78" s="176">
        <v>5</v>
      </c>
      <c r="C78" s="134" t="s">
        <v>347</v>
      </c>
      <c r="D78" s="133"/>
      <c r="E78" s="12" t="s">
        <v>91</v>
      </c>
      <c r="F78" s="12" t="s">
        <v>348</v>
      </c>
      <c r="G78" s="12" t="s">
        <v>349</v>
      </c>
      <c r="H78" s="12" t="s">
        <v>310</v>
      </c>
      <c r="I78" s="12" t="s">
        <v>350</v>
      </c>
      <c r="J78" s="70" t="s">
        <v>351</v>
      </c>
      <c r="K78" s="12" t="s">
        <v>307</v>
      </c>
      <c r="AJ78" s="12"/>
    </row>
    <row r="79" spans="1:36">
      <c r="B79" s="176">
        <v>10</v>
      </c>
      <c r="C79" s="12" t="s">
        <v>143</v>
      </c>
      <c r="D79" s="12">
        <v>1</v>
      </c>
      <c r="E79" s="12" t="s">
        <v>352</v>
      </c>
      <c r="F79" s="12" t="s">
        <v>93</v>
      </c>
      <c r="G79" s="12" t="s">
        <v>353</v>
      </c>
      <c r="I79" s="12" t="s">
        <v>159</v>
      </c>
      <c r="J79" s="70" t="s">
        <v>354</v>
      </c>
      <c r="K79" s="12" t="s">
        <v>307</v>
      </c>
      <c r="AJ79" s="12"/>
    </row>
    <row r="80" spans="1:36">
      <c r="B80" s="176">
        <v>20</v>
      </c>
      <c r="C80" s="12" t="s">
        <v>144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92</v>
      </c>
      <c r="AJ80" s="12"/>
    </row>
    <row r="81" spans="1:36">
      <c r="B81" s="176">
        <v>30</v>
      </c>
      <c r="C81" s="12" t="s">
        <v>145</v>
      </c>
      <c r="D81" s="12">
        <f>D80+1</f>
        <v>3</v>
      </c>
      <c r="J81" s="70" t="s">
        <v>358</v>
      </c>
      <c r="K81" s="12" t="s">
        <v>92</v>
      </c>
    </row>
    <row r="82" spans="1:36">
      <c r="B82" s="176">
        <v>40</v>
      </c>
      <c r="C82" s="12" t="s">
        <v>146</v>
      </c>
      <c r="D82" s="12">
        <f>D81+1</f>
        <v>4</v>
      </c>
      <c r="J82" s="70"/>
    </row>
    <row r="83" spans="1:36">
      <c r="B83" s="176">
        <v>50</v>
      </c>
      <c r="C83" s="12" t="s">
        <v>147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359</v>
      </c>
      <c r="D85" s="12">
        <f>D84+1</f>
        <v>7</v>
      </c>
    </row>
    <row r="86" spans="1:36">
      <c r="B86" s="176">
        <v>80</v>
      </c>
      <c r="C86" s="12" t="s">
        <v>360</v>
      </c>
      <c r="D86" s="12">
        <f>D85+1</f>
        <v>8</v>
      </c>
    </row>
    <row r="87" spans="1:36">
      <c r="B87" s="176">
        <v>89.99999999999999</v>
      </c>
      <c r="C87" s="12" t="s">
        <v>361</v>
      </c>
      <c r="D87" s="12">
        <f>D86+1</f>
        <v>9</v>
      </c>
    </row>
    <row r="88" spans="1:36">
      <c r="B88" s="176">
        <v>99.99999999999999</v>
      </c>
      <c r="C88" s="12" t="s">
        <v>362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