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<sst xmlns="http://schemas.openxmlformats.org/spreadsheetml/2006/main" uniqueCount="367">
  <si>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</si>
  <si>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</si>
  <si>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</si>
  <si>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</si>
  <si>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</si>
  <si>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</si>
  <si>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</si>
  <si>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</si>
  <si>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</si>
  <si>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</si>
  <si>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</si>
  <si>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</si>
  <si>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</si>
  <si>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</si>
  <si>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</si>
  <si>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</si>
  <si>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</si>
  <si>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</si>
  <si>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</si>
  <si>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</si>
  <si>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</si>
  <si>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</si>
  <si>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</si>
  <si>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</si>
  <si>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</si>
  <si>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</si>
  <si>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</si>
  <si>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</si>
  <si>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</si>
  <si>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</si>
  <si>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</si>
  <si>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</si>
  <si>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</si>
  <si>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</si>
  <si>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</si>
  <si>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</si>
  <si>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</si>
  <si>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</si>
  <si>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</si>
  <si>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</si>
  <si>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</si>
  <si>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</si>
  <si>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</si>
  <si>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</si>
  <si>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</si>
  <si>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</si>
  <si>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</si>
  <si>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</si>
  <si>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</si>
  <si>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</si>
  <si>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</si>
  <si>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</si>
  <si>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</si>
  <si>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</si>
  <si>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</si>
  <si>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</si>
  <si>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</si>
  <si>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</si>
  <si>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</si>
  <si>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</si>
  <si>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</si>
  <si>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</si>
  <si>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</si>
  <si>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</si>
  <si>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</si>
  <si>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</si>
  <si>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</si>
  <si>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</si>
  <si>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</si>
  <si>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</si>
  <si>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</si>
  <si>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</si>
  <si>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</si>
  <si>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</si>
  <si>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</si>
  <si>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</si>
  <si>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</si>
  <si>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</si>
  <si>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</si>
  <si>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</si>
  <si>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</si>
  <si>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</si>
  <si>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</si>
  <si>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</si>
  <si>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</si>
  <si>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</si>
  <si>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</si>
  <si>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</si>
  <si>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</si>
  <si>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Tomatoes</t>
  </si>
  <si>
    <t>Shop_certified variety</t>
  </si>
  <si>
    <t>Yes Inorganic fertizers</t>
  </si>
  <si>
    <t>Yes</t>
  </si>
  <si>
    <t>Yes using a diesel pump</t>
  </si>
  <si>
    <t>January</t>
  </si>
  <si>
    <t>Other crops</t>
  </si>
  <si>
    <t>NGO</t>
  </si>
  <si>
    <t>Yes both manure and inorganic</t>
  </si>
  <si>
    <t>Yes without the use of a pump</t>
  </si>
  <si>
    <t>every month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</si>
  <si>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</si>
  <si>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</si>
  <si>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</si>
  <si>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</si>
  <si>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</si>
  <si>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</si>
  <si>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</si>
  <si>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</si>
  <si>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</si>
  <si>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</si>
  <si>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</si>
  <si>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</si>
  <si>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</si>
  <si>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</si>
  <si>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Chicken_broilers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</si>
  <si>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</si>
  <si>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</si>
  <si>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</si>
  <si>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</si>
  <si>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</si>
  <si>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</si>
  <si>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</si>
  <si>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</si>
  <si>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</si>
  <si>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</si>
  <si>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</si>
  <si>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</si>
  <si>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December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</si>
  <si>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</si>
  <si>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</si>
  <si>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</si>
  <si>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</si>
  <si>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</si>
  <si>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</si>
  <si>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</si>
  <si>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</si>
  <si>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</si>
  <si>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</si>
  <si>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</si>
  <si>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</si>
  <si>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</si>
  <si>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</si>
  <si>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</si>
  <si>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</si>
  <si>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</si>
  <si>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</si>
  <si>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</si>
  <si>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</si>
  <si>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2/8/2018</t>
  </si>
  <si>
    <t>Mpesa &amp; bank cash flows (from past statements)</t>
  </si>
  <si>
    <t>Cash inflows</t>
  </si>
  <si>
    <t>Cash outflows</t>
  </si>
  <si>
    <t>Loan info</t>
  </si>
  <si>
    <t>Branch ID</t>
  </si>
  <si>
    <t>Submission date</t>
  </si>
  <si>
    <t>2018/2/8</t>
  </si>
  <si>
    <t>Loan terms</t>
  </si>
  <si>
    <t>Expected disbursement date</t>
  </si>
  <si>
    <t>Expected first repayment date</t>
  </si>
  <si>
    <t>2018/3/8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</si>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</sst>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September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Tomatoes,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Chicken_broilers, Chicken_broilers, Chicken_broilers,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1.170212765957447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September 2018</v>
      </c>
    </row>
    <row r="13" spans="1:7">
      <c r="B13" s="1" t="s">
        <v>8</v>
      </c>
      <c r="C13" s="67">
        <f>IFERROR(Output!B107/Output!B101,"")</f>
        <v>0.2272727272727273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45833.33333333333</v>
      </c>
    </row>
    <row r="17" spans="1:7">
      <c r="B17" s="1" t="s">
        <v>11</v>
      </c>
      <c r="C17" s="36">
        <f>SUM(Output!B6:M6)</f>
        <v>-27000</v>
      </c>
    </row>
    <row r="18" spans="1:7">
      <c r="B18" s="1" t="s">
        <v>12</v>
      </c>
      <c r="C18" s="36">
        <f>MIN(Output!B6:M6)</f>
        <v>-10500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September 2018</v>
      </c>
    </row>
    <row r="20" spans="1:7">
      <c r="B20" s="1" t="s">
        <v>14</v>
      </c>
      <c r="C20" s="36">
        <f>MAX(Output!B6:M6)</f>
        <v>1500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0</v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1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1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1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-1500</v>
      </c>
      <c r="C6" s="51">
        <f>C30-C88</f>
        <v>-10500</v>
      </c>
      <c r="D6" s="51">
        <f>D30-D88</f>
        <v>-1500</v>
      </c>
      <c r="E6" s="51">
        <f>E30-E88</f>
        <v>1500</v>
      </c>
      <c r="F6" s="51">
        <f>F30-F88</f>
        <v>1500</v>
      </c>
      <c r="G6" s="51">
        <f>G30-G88</f>
        <v>-3000</v>
      </c>
      <c r="H6" s="51">
        <f>H30-H88</f>
        <v>-1500</v>
      </c>
      <c r="I6" s="51">
        <f>I30-I88</f>
        <v>-10500</v>
      </c>
      <c r="J6" s="51">
        <f>J30-J88</f>
        <v>-1500</v>
      </c>
      <c r="K6" s="51">
        <f>K30-K88</f>
        <v>1500</v>
      </c>
      <c r="L6" s="51">
        <f>L30-L88</f>
        <v>1500</v>
      </c>
      <c r="M6" s="51">
        <f>M30-M88</f>
        <v>-3000</v>
      </c>
      <c r="N6" s="51">
        <f>N30-N88</f>
        <v>-1500</v>
      </c>
      <c r="O6" s="51">
        <f>O30-O88</f>
        <v>-10500</v>
      </c>
      <c r="P6" s="51">
        <f>P30-P88</f>
        <v>-1500</v>
      </c>
      <c r="Q6" s="51">
        <f>Q30-Q88</f>
        <v>1500</v>
      </c>
      <c r="R6" s="51">
        <f>R30-R88</f>
        <v>1500</v>
      </c>
      <c r="S6" s="51">
        <f>S30-S88</f>
        <v>-3000</v>
      </c>
      <c r="T6" s="51">
        <f>T30-T88</f>
        <v>-1500</v>
      </c>
      <c r="U6" s="51">
        <f>U30-U88</f>
        <v>-10500</v>
      </c>
      <c r="V6" s="51">
        <f>V30-V88</f>
        <v>-1500</v>
      </c>
      <c r="W6" s="51">
        <f>W30-W88</f>
        <v>1500</v>
      </c>
      <c r="X6" s="51">
        <f>X30-X88</f>
        <v>1500</v>
      </c>
      <c r="Y6" s="51">
        <f>Y30-Y88</f>
        <v>-3000</v>
      </c>
      <c r="Z6" s="51">
        <f>SUMIF($B$13:$Y$13,"Yes",B6:Y6)</f>
        <v>-15000</v>
      </c>
      <c r="AA6" s="51">
        <f>AA30-AA88</f>
        <v>-27000</v>
      </c>
      <c r="AB6" s="51">
        <f>AB30-AB88</f>
        <v>-54000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>
        <f>IF(ISERROR(VLOOKUP(MONTH(L5),Inputs!$D$66:$D$71,1,0)),"",INDEX(Inputs!$B$66:$B$71,MATCH(MONTH(Output!L5),Inputs!$D$66:$D$71,0))-INDEX(Inputs!$C$66:$C$71,MATCH(MONTH(Output!L5),Inputs!$D$66:$D$71,0)))</f>
        <v>0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>
        <f>IF(ISERROR(VLOOKUP(MONTH(X5),Inputs!$D$66:$D$71,1,0)),"",INDEX(Inputs!$B$66:$B$71,MATCH(MONTH(Output!X5),Inputs!$D$66:$D$71,0))-INDEX(Inputs!$C$66:$C$71,MATCH(MONTH(Output!X5),Inputs!$D$66:$D$71,0)))</f>
        <v>0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45833.33333333333</v>
      </c>
      <c r="D10" s="37">
        <f>SUMPRODUCT((Calculations!$D$33:$D$84=Output!D5)+0,Calculations!$C$33:$C$84)</f>
        <v>45833.33333333333</v>
      </c>
      <c r="E10" s="37">
        <f>SUMPRODUCT((Calculations!$D$33:$D$84=Output!E5)+0,Calculations!$C$33:$C$84)</f>
        <v>45833.33333333333</v>
      </c>
      <c r="F10" s="37">
        <f>SUMPRODUCT((Calculations!$D$33:$D$84=Output!F5)+0,Calculations!$C$33:$C$84)</f>
        <v>45833.33333333333</v>
      </c>
      <c r="G10" s="37">
        <f>SUMPRODUCT((Calculations!$D$33:$D$84=Output!G5)+0,Calculations!$C$33:$C$84)</f>
        <v>45833.33333333333</v>
      </c>
      <c r="H10" s="37">
        <f>SUMPRODUCT((Calculations!$D$33:$D$84=Output!H5)+0,Calculations!$C$33:$C$84)</f>
        <v>45833.33333333333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274999.9999999999</v>
      </c>
      <c r="AA10" s="37">
        <f>SUM(B10:M10)</f>
        <v>274999.9999999999</v>
      </c>
      <c r="AB10" s="37">
        <f>SUM(B10:Y10)</f>
        <v>274999.9999999999</v>
      </c>
    </row>
    <row r="11" spans="1:30" customHeight="1" ht="15.75">
      <c r="A11" s="43" t="s">
        <v>31</v>
      </c>
      <c r="B11" s="80">
        <f>B6+B9-B10</f>
        <v>248500</v>
      </c>
      <c r="C11" s="80">
        <f>C6+C9-C10</f>
        <v>-56333.33333333333</v>
      </c>
      <c r="D11" s="80">
        <f>D6+D9-D10</f>
        <v>-47333.33333333333</v>
      </c>
      <c r="E11" s="80">
        <f>E6+E9-E10</f>
        <v>-44333.33333333333</v>
      </c>
      <c r="F11" s="80">
        <f>F6+F9-F10</f>
        <v>-44333.33333333333</v>
      </c>
      <c r="G11" s="80">
        <f>G6+G9-G10</f>
        <v>-48833.33333333333</v>
      </c>
      <c r="H11" s="80">
        <f>H6+H9-H10</f>
        <v>-47333.33333333333</v>
      </c>
      <c r="I11" s="80">
        <f>I6+I9-I10</f>
        <v>-10500</v>
      </c>
      <c r="J11" s="80">
        <f>J6+J9-J10</f>
        <v>-1500</v>
      </c>
      <c r="K11" s="80">
        <f>K6+K9-K10</f>
        <v>1500</v>
      </c>
      <c r="L11" s="80">
        <f>L6+L9-L10</f>
        <v>1500</v>
      </c>
      <c r="M11" s="80">
        <f>M6+M9-M10</f>
        <v>-3000</v>
      </c>
      <c r="N11" s="80">
        <f>N6+N9-N10</f>
        <v>-1500</v>
      </c>
      <c r="O11" s="80">
        <f>O6+O9-O10</f>
        <v>-10500</v>
      </c>
      <c r="P11" s="80">
        <f>P6+P9-P10</f>
        <v>-1500</v>
      </c>
      <c r="Q11" s="80">
        <f>Q6+Q9-Q10</f>
        <v>1500</v>
      </c>
      <c r="R11" s="80">
        <f>R6+R9-R10</f>
        <v>1500</v>
      </c>
      <c r="S11" s="80">
        <f>S6+S9-S10</f>
        <v>-3000</v>
      </c>
      <c r="T11" s="80">
        <f>T6+T9-T10</f>
        <v>-1500</v>
      </c>
      <c r="U11" s="80">
        <f>U6+U9-U10</f>
        <v>-10500</v>
      </c>
      <c r="V11" s="80">
        <f>V6+V9-V10</f>
        <v>-1500</v>
      </c>
      <c r="W11" s="80">
        <f>W6+W9-W10</f>
        <v>1500</v>
      </c>
      <c r="X11" s="80">
        <f>X6+X9-X10</f>
        <v>1500</v>
      </c>
      <c r="Y11" s="80">
        <f>Y6+Y9-Y10</f>
        <v>-3000</v>
      </c>
      <c r="Z11" s="85">
        <f>SUMIF($B$13:$Y$13,"Yes",B11:Y11)</f>
        <v>-39999.99999999994</v>
      </c>
      <c r="AA11" s="80">
        <f>SUM(B11:M11)</f>
        <v>-51999.99999999994</v>
      </c>
      <c r="AB11" s="46">
        <f>SUM(B11:Y11)</f>
        <v>-78999.99999999994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0.1925770308123249</v>
      </c>
      <c r="D12" s="82">
        <f>IF(D13="Yes",IF(SUM($B$10:D10)/(SUM($B$6:D6)+SUM($B$9:D9))&lt;0,999.99,SUM($B$10:D10)/(SUM($B$6:D6)+SUM($B$9:D9))),"")</f>
        <v>0.3875968992248062</v>
      </c>
      <c r="E12" s="82">
        <f>IF(E13="Yes",IF(SUM($B$10:E10)/(SUM($B$6:E6)+SUM($B$9:E9))&lt;0,999.99,SUM($B$10:E10)/(SUM($B$6:E6)+SUM($B$9:E9))),"")</f>
        <v>0.5777310924369747</v>
      </c>
      <c r="F12" s="82">
        <f>IF(F13="Yes",IF(SUM($B$10:F10)/(SUM($B$6:F6)+SUM($B$9:F9))&lt;0,999.99,SUM($B$10:F10)/(SUM($B$6:F6)+SUM($B$9:F9))),"")</f>
        <v>0.7654836464857341</v>
      </c>
      <c r="G12" s="82">
        <f>IF(G13="Yes",IF(SUM($B$10:G10)/(SUM($B$6:G6)+SUM($B$9:G9))&lt;0,999.99,SUM($B$10:G10)/(SUM($B$6:G6)+SUM($B$9:G9))),"")</f>
        <v>0.9689922480620153</v>
      </c>
      <c r="H12" s="82">
        <f>IF(H13="Yes",IF(SUM($B$10:H10)/(SUM($B$6:H6)+SUM($B$9:H9))&lt;0,999.99,SUM($B$10:H10)/(SUM($B$6:H6)+SUM($B$9:H9))),"")</f>
        <v>1.170212765957447</v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Tomatoes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>Chicken_broilers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0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0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0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0</v>
      </c>
      <c r="Y30" s="19">
        <f>SUM(Y18:Y29)</f>
        <v>0</v>
      </c>
      <c r="Z30" s="19">
        <f>SUMIF($B$13:$Y$13,"Yes",B30:Y30)</f>
        <v>0</v>
      </c>
      <c r="AA30" s="19">
        <f>SUM(B30:M30)</f>
        <v>0</v>
      </c>
      <c r="AB30" s="19">
        <f>SUM(B30:Y30)</f>
        <v>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Tomatoes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1500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1500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1500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1500</v>
      </c>
      <c r="Z42" s="36">
        <f>SUMIF($B$13:$Y$13,"Yes",B42:Y42)</f>
        <v>1500</v>
      </c>
      <c r="AA42" s="36">
        <f>SUM(B42:M42)</f>
        <v>3000</v>
      </c>
      <c r="AB42" s="36">
        <f>SUM(B42:Y42)</f>
        <v>6000</v>
      </c>
    </row>
    <row r="43" spans="1:30" hidden="true" outlineLevel="1">
      <c r="A43" s="181" t="str">
        <f>Calculations!$A$4</f>
        <v>Tomatoes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1500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1500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1500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1500</v>
      </c>
      <c r="Z43" s="36">
        <f>SUMIF($B$13:$Y$13,"Yes",B43:Y43)</f>
        <v>1500</v>
      </c>
      <c r="AA43" s="36">
        <f>SUM(B43:M43)</f>
        <v>3000</v>
      </c>
      <c r="AB43" s="36">
        <f>SUM(B43:Y43)</f>
        <v>6000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9000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9000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9000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9000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9000</v>
      </c>
      <c r="AA48" s="46">
        <f>SUM(B48:M48)</f>
        <v>18000</v>
      </c>
      <c r="AB48" s="46">
        <f>SUM(B48:Y48)</f>
        <v>36000</v>
      </c>
    </row>
    <row r="49" spans="1:30" hidden="true" outlineLevel="1">
      <c r="A49" s="181" t="str">
        <f>Calculations!$A$4</f>
        <v>Tomatoes</v>
      </c>
      <c r="B49" s="36">
        <f>N49</f>
        <v>0</v>
      </c>
      <c r="C49" s="36">
        <f>O49</f>
        <v>9000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9000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9000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9000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9000</v>
      </c>
      <c r="AA49" s="46">
        <f>SUM(B49:M49)</f>
        <v>18000</v>
      </c>
      <c r="AB49" s="46">
        <f>SUM(B49:Y49)</f>
        <v>36000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Tomatoes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3000</v>
      </c>
      <c r="C60" s="36">
        <f>O60</f>
        <v>3000</v>
      </c>
      <c r="D60" s="36">
        <f>P60</f>
        <v>3000</v>
      </c>
      <c r="E60" s="36">
        <f>Q60</f>
        <v>0</v>
      </c>
      <c r="F60" s="36">
        <f>R60</f>
        <v>0</v>
      </c>
      <c r="G60" s="36">
        <f>S60</f>
        <v>3000</v>
      </c>
      <c r="H60" s="36">
        <f>T60</f>
        <v>3000</v>
      </c>
      <c r="I60" s="36">
        <f>U60</f>
        <v>3000</v>
      </c>
      <c r="J60" s="36">
        <f>V60</f>
        <v>3000</v>
      </c>
      <c r="K60" s="36">
        <f>W60</f>
        <v>0</v>
      </c>
      <c r="L60" s="36">
        <f>X60</f>
        <v>0</v>
      </c>
      <c r="M60" s="36">
        <f>Y60</f>
        <v>3000</v>
      </c>
      <c r="N60" s="46">
        <f>SUM(N61:N65)</f>
        <v>3000</v>
      </c>
      <c r="O60" s="46">
        <f>SUM(O61:O65)</f>
        <v>3000</v>
      </c>
      <c r="P60" s="46">
        <f>SUM(P61:P65)</f>
        <v>3000</v>
      </c>
      <c r="Q60" s="46">
        <f>SUM(Q61:Q65)</f>
        <v>0</v>
      </c>
      <c r="R60" s="46">
        <f>SUM(R61:R65)</f>
        <v>0</v>
      </c>
      <c r="S60" s="46">
        <f>SUM(S61:S65)</f>
        <v>3000</v>
      </c>
      <c r="T60" s="46">
        <f>SUM(T61:T65)</f>
        <v>3000</v>
      </c>
      <c r="U60" s="46">
        <f>SUM(U61:U65)</f>
        <v>3000</v>
      </c>
      <c r="V60" s="46">
        <f>SUM(V61:V65)</f>
        <v>3000</v>
      </c>
      <c r="W60" s="46">
        <f>SUM(W61:W65)</f>
        <v>0</v>
      </c>
      <c r="X60" s="46">
        <f>SUM(X61:X65)</f>
        <v>0</v>
      </c>
      <c r="Y60" s="46">
        <f>SUM(Y61:Y65)</f>
        <v>3000</v>
      </c>
      <c r="Z60" s="46">
        <f>SUMIF($B$13:$Y$13,"Yes",B60:Y60)</f>
        <v>15000</v>
      </c>
      <c r="AA60" s="46">
        <f>SUM(B60:M60)</f>
        <v>24000</v>
      </c>
      <c r="AB60" s="46">
        <f>SUM(B60:Y60)</f>
        <v>48000</v>
      </c>
    </row>
    <row r="61" spans="1:30" hidden="true" outlineLevel="1">
      <c r="A61" s="181" t="str">
        <f>Calculations!$A$4</f>
        <v>Tomatoes</v>
      </c>
      <c r="B61" s="36">
        <f>N61</f>
        <v>3000</v>
      </c>
      <c r="C61" s="36">
        <f>O61</f>
        <v>3000</v>
      </c>
      <c r="D61" s="36">
        <f>P61</f>
        <v>3000</v>
      </c>
      <c r="E61" s="36">
        <f>Q61</f>
        <v>0</v>
      </c>
      <c r="F61" s="36">
        <f>R61</f>
        <v>0</v>
      </c>
      <c r="G61" s="36">
        <f>S61</f>
        <v>3000</v>
      </c>
      <c r="H61" s="36">
        <f>T61</f>
        <v>3000</v>
      </c>
      <c r="I61" s="36">
        <f>U61</f>
        <v>3000</v>
      </c>
      <c r="J61" s="36">
        <f>V61</f>
        <v>3000</v>
      </c>
      <c r="K61" s="36">
        <f>W61</f>
        <v>0</v>
      </c>
      <c r="L61" s="36">
        <f>X61</f>
        <v>0</v>
      </c>
      <c r="M61" s="36">
        <f>Y61</f>
        <v>3000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3000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3000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3000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3000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3000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3000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3000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3000</v>
      </c>
      <c r="Z61" s="46">
        <f>SUMIF($B$13:$Y$13,"Yes",B61:Y61)</f>
        <v>15000</v>
      </c>
      <c r="AA61" s="46">
        <f>SUM(B61:M61)</f>
        <v>24000</v>
      </c>
      <c r="AB61" s="46">
        <f>SUM(B61:Y61)</f>
        <v>48000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Tomatoes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-1500</v>
      </c>
      <c r="C81" s="46">
        <f>(SUM($AA$18:$AA$29)-SUM($AA$36,$AA$42,$AA$48,$AA$54,$AA$60,$AA$66,$AA$72:$AA$79))*Parameters!$B$37/12</f>
        <v>-1500</v>
      </c>
      <c r="D81" s="46">
        <f>(SUM($AA$18:$AA$29)-SUM($AA$36,$AA$42,$AA$48,$AA$54,$AA$60,$AA$66,$AA$72:$AA$79))*Parameters!$B$37/12</f>
        <v>-1500</v>
      </c>
      <c r="E81" s="46">
        <f>(SUM($AA$18:$AA$29)-SUM($AA$36,$AA$42,$AA$48,$AA$54,$AA$60,$AA$66,$AA$72:$AA$79))*Parameters!$B$37/12</f>
        <v>-1500</v>
      </c>
      <c r="F81" s="46">
        <f>(SUM($AA$18:$AA$29)-SUM($AA$36,$AA$42,$AA$48,$AA$54,$AA$60,$AA$66,$AA$72:$AA$79))*Parameters!$B$37/12</f>
        <v>-1500</v>
      </c>
      <c r="G81" s="46">
        <f>(SUM($AA$18:$AA$29)-SUM($AA$36,$AA$42,$AA$48,$AA$54,$AA$60,$AA$66,$AA$72:$AA$79))*Parameters!$B$37/12</f>
        <v>-1500</v>
      </c>
      <c r="H81" s="46">
        <f>(SUM($AA$18:$AA$29)-SUM($AA$36,$AA$42,$AA$48,$AA$54,$AA$60,$AA$66,$AA$72:$AA$79))*Parameters!$B$37/12</f>
        <v>-1500</v>
      </c>
      <c r="I81" s="46">
        <f>(SUM($AA$18:$AA$29)-SUM($AA$36,$AA$42,$AA$48,$AA$54,$AA$60,$AA$66,$AA$72:$AA$79))*Parameters!$B$37/12</f>
        <v>-1500</v>
      </c>
      <c r="J81" s="46">
        <f>(SUM($AA$18:$AA$29)-SUM($AA$36,$AA$42,$AA$48,$AA$54,$AA$60,$AA$66,$AA$72:$AA$79))*Parameters!$B$37/12</f>
        <v>-1500</v>
      </c>
      <c r="K81" s="46">
        <f>(SUM($AA$18:$AA$29)-SUM($AA$36,$AA$42,$AA$48,$AA$54,$AA$60,$AA$66,$AA$72:$AA$79))*Parameters!$B$37/12</f>
        <v>-1500</v>
      </c>
      <c r="L81" s="46">
        <f>(SUM($AA$18:$AA$29)-SUM($AA$36,$AA$42,$AA$48,$AA$54,$AA$60,$AA$66,$AA$72:$AA$79))*Parameters!$B$37/12</f>
        <v>-1500</v>
      </c>
      <c r="M81" s="46">
        <f>(SUM($AA$18:$AA$29)-SUM($AA$36,$AA$42,$AA$48,$AA$54,$AA$60,$AA$66,$AA$72:$AA$79))*Parameters!$B$37/12</f>
        <v>-1500</v>
      </c>
      <c r="N81" s="46">
        <f>(SUM($AA$18:$AA$29)-SUM($AA$36,$AA$42,$AA$48,$AA$54,$AA$60,$AA$66,$AA$72:$AA$79))*Parameters!$B$37/12</f>
        <v>-1500</v>
      </c>
      <c r="O81" s="46">
        <f>(SUM($AA$18:$AA$29)-SUM($AA$36,$AA$42,$AA$48,$AA$54,$AA$60,$AA$66,$AA$72:$AA$79))*Parameters!$B$37/12</f>
        <v>-1500</v>
      </c>
      <c r="P81" s="46">
        <f>(SUM($AA$18:$AA$29)-SUM($AA$36,$AA$42,$AA$48,$AA$54,$AA$60,$AA$66,$AA$72:$AA$79))*Parameters!$B$37/12</f>
        <v>-1500</v>
      </c>
      <c r="Q81" s="46">
        <f>(SUM($AA$18:$AA$29)-SUM($AA$36,$AA$42,$AA$48,$AA$54,$AA$60,$AA$66,$AA$72:$AA$79))*Parameters!$B$37/12</f>
        <v>-1500</v>
      </c>
      <c r="R81" s="46">
        <f>(SUM($AA$18:$AA$29)-SUM($AA$36,$AA$42,$AA$48,$AA$54,$AA$60,$AA$66,$AA$72:$AA$79))*Parameters!$B$37/12</f>
        <v>-1500</v>
      </c>
      <c r="S81" s="46">
        <f>(SUM($AA$18:$AA$29)-SUM($AA$36,$AA$42,$AA$48,$AA$54,$AA$60,$AA$66,$AA$72:$AA$79))*Parameters!$B$37/12</f>
        <v>-1500</v>
      </c>
      <c r="T81" s="46">
        <f>(SUM($AA$18:$AA$29)-SUM($AA$36,$AA$42,$AA$48,$AA$54,$AA$60,$AA$66,$AA$72:$AA$79))*Parameters!$B$37/12</f>
        <v>-1500</v>
      </c>
      <c r="U81" s="46">
        <f>(SUM($AA$18:$AA$29)-SUM($AA$36,$AA$42,$AA$48,$AA$54,$AA$60,$AA$66,$AA$72:$AA$79))*Parameters!$B$37/12</f>
        <v>-1500</v>
      </c>
      <c r="V81" s="46">
        <f>(SUM($AA$18:$AA$29)-SUM($AA$36,$AA$42,$AA$48,$AA$54,$AA$60,$AA$66,$AA$72:$AA$79))*Parameters!$B$37/12</f>
        <v>-1500</v>
      </c>
      <c r="W81" s="46">
        <f>(SUM($AA$18:$AA$29)-SUM($AA$36,$AA$42,$AA$48,$AA$54,$AA$60,$AA$66,$AA$72:$AA$79))*Parameters!$B$37/12</f>
        <v>-1500</v>
      </c>
      <c r="X81" s="46">
        <f>(SUM($AA$18:$AA$29)-SUM($AA$36,$AA$42,$AA$48,$AA$54,$AA$60,$AA$66,$AA$72:$AA$79))*Parameters!$B$37/12</f>
        <v>-1500</v>
      </c>
      <c r="Y81" s="46">
        <f>(SUM($AA$18:$AA$29)-SUM($AA$36,$AA$42,$AA$48,$AA$54,$AA$60,$AA$66,$AA$72:$AA$79))*Parameters!$B$37/12</f>
        <v>-1500</v>
      </c>
      <c r="Z81" s="46">
        <f>SUMIF($B$13:$Y$13,"Yes",B81:Y81)</f>
        <v>-10500</v>
      </c>
      <c r="AA81" s="46">
        <f>SUM(B81:M81)</f>
        <v>-18000</v>
      </c>
      <c r="AB81" s="46">
        <f>SUM(B81:Y81)</f>
        <v>-36000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1500</v>
      </c>
      <c r="C88" s="19">
        <f>SUM(C72:C82,C66,C60,C54,C48,C42,C36)</f>
        <v>10500</v>
      </c>
      <c r="D88" s="19">
        <f>SUM(D72:D82,D66,D60,D54,D48,D42,D36)</f>
        <v>1500</v>
      </c>
      <c r="E88" s="19">
        <f>SUM(E72:E82,E66,E60,E54,E48,E42,E36)</f>
        <v>-1500</v>
      </c>
      <c r="F88" s="19">
        <f>SUM(F72:F82,F66,F60,F54,F48,F42,F36)</f>
        <v>-1500</v>
      </c>
      <c r="G88" s="19">
        <f>SUM(G72:G82,G66,G60,G54,G48,G42,G36)</f>
        <v>3000</v>
      </c>
      <c r="H88" s="19">
        <f>SUM(H72:H82,H66,H60,H54,H48,H42,H36)</f>
        <v>1500</v>
      </c>
      <c r="I88" s="19">
        <f>SUM(I72:I82,I66,I60,I54,I48,I42,I36)</f>
        <v>10500</v>
      </c>
      <c r="J88" s="19">
        <f>SUM(J72:J82,J66,J60,J54,J48,J42,J36)</f>
        <v>1500</v>
      </c>
      <c r="K88" s="19">
        <f>SUM(K72:K82,K66,K60,K54,K48,K42,K36)</f>
        <v>-1500</v>
      </c>
      <c r="L88" s="19">
        <f>SUM(L72:L82,L66,L60,L54,L48,L42,L36)</f>
        <v>-1500</v>
      </c>
      <c r="M88" s="19">
        <f>SUM(M72:M82,M66,M60,M54,M48,M42,M36)</f>
        <v>3000</v>
      </c>
      <c r="N88" s="19">
        <f>SUM(N72:N82,N66,N60,N54,N48,N42,N36)</f>
        <v>1500</v>
      </c>
      <c r="O88" s="19">
        <f>SUM(O72:O82,O66,O60,O54,O48,O42,O36)</f>
        <v>10500</v>
      </c>
      <c r="P88" s="19">
        <f>SUM(P72:P82,P66,P60,P54,P48,P42,P36)</f>
        <v>1500</v>
      </c>
      <c r="Q88" s="19">
        <f>SUM(Q72:Q82,Q66,Q60,Q54,Q48,Q42,Q36)</f>
        <v>-1500</v>
      </c>
      <c r="R88" s="19">
        <f>SUM(R72:R82,R66,R60,R54,R48,R42,R36)</f>
        <v>-1500</v>
      </c>
      <c r="S88" s="19">
        <f>SUM(S72:S82,S66,S60,S54,S48,S42,S36)</f>
        <v>3000</v>
      </c>
      <c r="T88" s="19">
        <f>SUM(T72:T82,T66,T60,T54,T48,T42,T36)</f>
        <v>1500</v>
      </c>
      <c r="U88" s="19">
        <f>SUM(U72:U82,U66,U60,U54,U48,U42,U36)</f>
        <v>10500</v>
      </c>
      <c r="V88" s="19">
        <f>SUM(V72:V82,V66,V60,V54,V48,V42,V36)</f>
        <v>1500</v>
      </c>
      <c r="W88" s="19">
        <f>SUM(W72:W82,W66,W60,W54,W48,W42,W36)</f>
        <v>-1500</v>
      </c>
      <c r="X88" s="19">
        <f>SUM(X72:X82,X66,X60,X54,X48,X42,X36)</f>
        <v>-1500</v>
      </c>
      <c r="Y88" s="19">
        <f>SUM(Y72:Y82,Y66,Y60,Y54,Y48,Y42,Y36)</f>
        <v>3000</v>
      </c>
      <c r="Z88" s="19">
        <f>SUMIF($B$13:$Y$13,"Yes",B88:Y88)</f>
        <v>15000</v>
      </c>
      <c r="AA88" s="19">
        <f>SUM(B88:M88)</f>
        <v>27000</v>
      </c>
      <c r="AB88" s="19">
        <f>SUM(B88:Y88)</f>
        <v>54000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1050000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1100000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96</v>
      </c>
      <c r="F8" s="149" t="s">
        <v>97</v>
      </c>
      <c r="G8" s="147"/>
      <c r="H8" s="147" t="s">
        <v>92</v>
      </c>
      <c r="I8" s="147" t="s">
        <v>98</v>
      </c>
      <c r="J8" s="148" t="s">
        <v>99</v>
      </c>
      <c r="K8" s="138"/>
      <c r="L8" s="16"/>
      <c r="M8" s="165">
        <v>100</v>
      </c>
      <c r="N8" s="154">
        <v>0</v>
      </c>
    </row>
    <row r="9" spans="1:48">
      <c r="A9" s="143" t="s">
        <v>95</v>
      </c>
      <c r="B9" s="16"/>
      <c r="C9" s="143">
        <v>0</v>
      </c>
      <c r="D9" s="16"/>
      <c r="E9" s="147" t="s">
        <v>96</v>
      </c>
      <c r="F9" s="149" t="s">
        <v>97</v>
      </c>
      <c r="G9" s="147"/>
      <c r="H9" s="147" t="s">
        <v>92</v>
      </c>
      <c r="I9" s="147" t="s">
        <v>98</v>
      </c>
      <c r="J9" s="148" t="s">
        <v>99</v>
      </c>
      <c r="K9" s="138"/>
      <c r="L9" s="16"/>
      <c r="M9" s="165">
        <v>100</v>
      </c>
      <c r="N9" s="154">
        <v>0</v>
      </c>
    </row>
    <row r="10" spans="1:48">
      <c r="A10" s="143" t="s">
        <v>95</v>
      </c>
      <c r="B10" s="16"/>
      <c r="C10" s="143">
        <v>0</v>
      </c>
      <c r="D10" s="16">
        <v>0</v>
      </c>
      <c r="E10" s="147" t="s">
        <v>96</v>
      </c>
      <c r="F10" s="149" t="s">
        <v>97</v>
      </c>
      <c r="G10" s="147"/>
      <c r="H10" s="147" t="s">
        <v>92</v>
      </c>
      <c r="I10" s="147" t="s">
        <v>98</v>
      </c>
      <c r="J10" s="148" t="s">
        <v>99</v>
      </c>
      <c r="K10" s="138" t="s">
        <v>100</v>
      </c>
      <c r="L10" s="16">
        <v>0</v>
      </c>
      <c r="M10" s="165">
        <v>100</v>
      </c>
      <c r="N10" s="154">
        <v>0</v>
      </c>
    </row>
    <row r="11" spans="1:48">
      <c r="A11" s="144" t="s">
        <v>95</v>
      </c>
      <c r="B11" s="23"/>
      <c r="C11" s="144">
        <v>0</v>
      </c>
      <c r="D11" s="23"/>
      <c r="E11" s="150" t="s">
        <v>96</v>
      </c>
      <c r="F11" s="151" t="s">
        <v>97</v>
      </c>
      <c r="G11" s="150"/>
      <c r="H11" s="150" t="s">
        <v>92</v>
      </c>
      <c r="I11" s="150" t="s">
        <v>98</v>
      </c>
      <c r="J11" s="152" t="s">
        <v>99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101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102</v>
      </c>
      <c r="B18" s="10" t="s">
        <v>103</v>
      </c>
      <c r="C18" s="10" t="s">
        <v>104</v>
      </c>
      <c r="D18" s="10" t="s">
        <v>105</v>
      </c>
      <c r="E18" s="10" t="s">
        <v>106</v>
      </c>
      <c r="F18" s="10" t="s">
        <v>107</v>
      </c>
      <c r="G18" s="10" t="s">
        <v>108</v>
      </c>
      <c r="H18" s="10" t="s">
        <v>109</v>
      </c>
      <c r="I18" s="10" t="s">
        <v>110</v>
      </c>
      <c r="J18" s="10" t="s">
        <v>111</v>
      </c>
      <c r="K18" s="10" t="s">
        <v>112</v>
      </c>
      <c r="L18" s="10" t="s">
        <v>113</v>
      </c>
    </row>
    <row r="19" spans="1:48">
      <c r="A19" s="142" t="s">
        <v>114</v>
      </c>
      <c r="B19" s="20"/>
      <c r="C19" s="142">
        <v>0</v>
      </c>
      <c r="D19" s="145"/>
      <c r="E19" s="20"/>
      <c r="F19" s="145" t="s">
        <v>92</v>
      </c>
      <c r="G19" s="20"/>
      <c r="H19" s="20"/>
      <c r="I19" s="145" t="s">
        <v>115</v>
      </c>
      <c r="J19" s="145"/>
      <c r="K19" s="145"/>
      <c r="L19" s="25"/>
    </row>
    <row r="20" spans="1:48">
      <c r="A20" s="143" t="s">
        <v>114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115</v>
      </c>
      <c r="J20" s="147"/>
      <c r="K20" s="147"/>
      <c r="L20" s="30"/>
    </row>
    <row r="21" spans="1:48">
      <c r="A21" s="144" t="s">
        <v>114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115</v>
      </c>
      <c r="J21" s="150"/>
      <c r="K21" s="150"/>
      <c r="L21" s="31"/>
    </row>
    <row r="23" spans="1:48">
      <c r="A23" s="3" t="s">
        <v>116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117</v>
      </c>
      <c r="B25" s="177">
        <v>100</v>
      </c>
    </row>
    <row r="27" spans="1:48">
      <c r="A27" s="14" t="s">
        <v>118</v>
      </c>
    </row>
    <row r="29" spans="1:48">
      <c r="A29" s="45" t="s">
        <v>119</v>
      </c>
      <c r="B29" s="156"/>
    </row>
    <row r="30" spans="1:48">
      <c r="A30" s="44" t="s">
        <v>120</v>
      </c>
      <c r="B30" s="157">
        <v>0</v>
      </c>
    </row>
    <row r="31" spans="1:48">
      <c r="A31" s="5" t="s">
        <v>121</v>
      </c>
      <c r="B31" s="158">
        <v>0</v>
      </c>
    </row>
    <row r="33" spans="1:48">
      <c r="A33" s="14" t="s">
        <v>122</v>
      </c>
    </row>
    <row r="34" spans="1:48">
      <c r="A34" s="10" t="s">
        <v>123</v>
      </c>
      <c r="B34" s="10" t="s">
        <v>124</v>
      </c>
      <c r="C34" s="10" t="s">
        <v>125</v>
      </c>
      <c r="D34" s="48" t="s">
        <v>126</v>
      </c>
    </row>
    <row r="35" spans="1:48">
      <c r="A35" s="142"/>
      <c r="B35" s="159">
        <v>0</v>
      </c>
      <c r="C35" s="145" t="s">
        <v>127</v>
      </c>
      <c r="D35" s="49">
        <f>IFERROR(VLOOKUP(C35,Parameters!$C$79:$D$90,2,0),"")</f>
        <v>12</v>
      </c>
    </row>
    <row r="36" spans="1:48">
      <c r="A36" s="144"/>
      <c r="B36" s="158">
        <v>0</v>
      </c>
      <c r="C36" s="150" t="s">
        <v>127</v>
      </c>
      <c r="D36" s="49">
        <f>IFERROR(VLOOKUP(C36,Parameters!$C$79:$D$90,2,0),"")</f>
        <v>12</v>
      </c>
    </row>
    <row r="38" spans="1:48">
      <c r="A38" s="3" t="s">
        <v>128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129</v>
      </c>
      <c r="B40" s="160" t="s">
        <v>92</v>
      </c>
    </row>
    <row r="41" spans="1:48">
      <c r="A41" s="55" t="s">
        <v>130</v>
      </c>
      <c r="B41" s="140"/>
    </row>
    <row r="42" spans="1:48">
      <c r="A42" s="55" t="s">
        <v>131</v>
      </c>
      <c r="B42" s="139"/>
    </row>
    <row r="43" spans="1:48">
      <c r="A43" s="55" t="s">
        <v>132</v>
      </c>
      <c r="B43" s="160" t="s">
        <v>133</v>
      </c>
    </row>
    <row r="44" spans="1:48">
      <c r="A44" s="56" t="s">
        <v>134</v>
      </c>
      <c r="B44" s="160" t="s">
        <v>92</v>
      </c>
    </row>
    <row r="45" spans="1:48">
      <c r="A45" s="56" t="s">
        <v>135</v>
      </c>
      <c r="B45" s="161">
        <v>0</v>
      </c>
    </row>
    <row r="46" spans="1:48" customHeight="1" ht="30">
      <c r="A46" s="57" t="s">
        <v>136</v>
      </c>
      <c r="B46" s="161">
        <v>0</v>
      </c>
    </row>
    <row r="47" spans="1:48" customHeight="1" ht="30">
      <c r="A47" s="57" t="s">
        <v>137</v>
      </c>
      <c r="B47" s="161">
        <v>0</v>
      </c>
    </row>
    <row r="48" spans="1:48" customHeight="1" ht="30">
      <c r="A48" s="57" t="s">
        <v>138</v>
      </c>
      <c r="B48" s="161">
        <v>0</v>
      </c>
    </row>
    <row r="49" spans="1:48" customHeight="1" ht="30">
      <c r="A49" s="57" t="s">
        <v>139</v>
      </c>
      <c r="B49" s="161">
        <v>50000</v>
      </c>
    </row>
    <row r="50" spans="1:48">
      <c r="A50" s="43"/>
      <c r="B50" s="36"/>
    </row>
    <row r="51" spans="1:48">
      <c r="A51" s="58" t="s">
        <v>140</v>
      </c>
      <c r="B51" s="161">
        <v>0</v>
      </c>
    </row>
    <row r="52" spans="1:48">
      <c r="A52" s="43"/>
    </row>
    <row r="53" spans="1:48">
      <c r="A53" s="3" t="s">
        <v>141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142</v>
      </c>
      <c r="B55" s="10" t="s">
        <v>143</v>
      </c>
      <c r="C55" s="10" t="s">
        <v>144</v>
      </c>
      <c r="D55" s="10" t="s">
        <v>145</v>
      </c>
      <c r="E55" s="10" t="s">
        <v>146</v>
      </c>
      <c r="F55" s="10" t="s">
        <v>147</v>
      </c>
    </row>
    <row r="56" spans="1:48">
      <c r="A56" s="159">
        <v>0</v>
      </c>
      <c r="B56" s="159">
        <v>0</v>
      </c>
      <c r="C56" s="162" t="s">
        <v>148</v>
      </c>
      <c r="D56" s="163"/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148</v>
      </c>
      <c r="D57" s="165"/>
      <c r="E57" s="165" t="s">
        <v>92</v>
      </c>
      <c r="F57" s="165"/>
    </row>
    <row r="58" spans="1:48">
      <c r="A58" s="157">
        <v>0</v>
      </c>
      <c r="B58" s="157">
        <v>0</v>
      </c>
      <c r="C58" s="164" t="s">
        <v>148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148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148</v>
      </c>
      <c r="D60" s="167"/>
      <c r="E60" s="167" t="s">
        <v>92</v>
      </c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126</v>
      </c>
      <c r="B65" s="10" t="s">
        <v>150</v>
      </c>
      <c r="C65" s="10" t="s">
        <v>151</v>
      </c>
    </row>
    <row r="66" spans="1:48">
      <c r="A66" s="142" t="s">
        <v>127</v>
      </c>
      <c r="B66" s="159">
        <v>0</v>
      </c>
      <c r="C66" s="163">
        <v>0</v>
      </c>
      <c r="D66" s="49">
        <f>INDEX(Parameters!$D$79:$D$90,MATCH(Inputs!A66,Parameters!$C$79:$C$90,0))</f>
        <v>12</v>
      </c>
    </row>
    <row r="67" spans="1:48">
      <c r="A67" s="143" t="s">
        <v>127</v>
      </c>
      <c r="B67" s="157">
        <v>0</v>
      </c>
      <c r="C67" s="165">
        <v>0</v>
      </c>
      <c r="D67" s="49">
        <f>INDEX(Parameters!$D$79:$D$90,MATCH(Inputs!A67,Parameters!$C$79:$C$90,0))</f>
        <v>12</v>
      </c>
    </row>
    <row r="68" spans="1:48">
      <c r="A68" s="143" t="s">
        <v>127</v>
      </c>
      <c r="B68" s="157">
        <v>0</v>
      </c>
      <c r="C68" s="165">
        <v>0</v>
      </c>
      <c r="D68" s="49">
        <f>INDEX(Parameters!$D$79:$D$90,MATCH(Inputs!A68,Parameters!$C$79:$C$90,0))</f>
        <v>12</v>
      </c>
    </row>
    <row r="69" spans="1:48">
      <c r="A69" s="143" t="s">
        <v>127</v>
      </c>
      <c r="B69" s="157">
        <v>0</v>
      </c>
      <c r="C69" s="165">
        <v>0</v>
      </c>
      <c r="D69" s="49">
        <f>INDEX(Parameters!$D$79:$D$90,MATCH(Inputs!A69,Parameters!$C$79:$C$90,0))</f>
        <v>12</v>
      </c>
    </row>
    <row r="70" spans="1:48">
      <c r="A70" s="143" t="s">
        <v>127</v>
      </c>
      <c r="B70" s="157">
        <v>0</v>
      </c>
      <c r="C70" s="165">
        <v>0</v>
      </c>
      <c r="D70" s="49">
        <f>INDEX(Parameters!$D$79:$D$90,MATCH(Inputs!A70,Parameters!$C$79:$C$90,0))</f>
        <v>12</v>
      </c>
    </row>
    <row r="71" spans="1:48">
      <c r="A71" s="144" t="s">
        <v>127</v>
      </c>
      <c r="B71" s="158">
        <v>0</v>
      </c>
      <c r="C71" s="167">
        <v>0</v>
      </c>
      <c r="D71" s="49">
        <f>INDEX(Parameters!$D$79:$D$90,MATCH(Inputs!A71,Parameters!$C$79:$C$90,0))</f>
        <v>12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4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250000</v>
      </c>
    </row>
    <row r="82" spans="1:48">
      <c r="A82" t="s">
        <v>161</v>
      </c>
      <c r="B82" s="161">
        <v>20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6</v>
      </c>
    </row>
    <row r="86" spans="1:48">
      <c r="A86" t="s">
        <v>166</v>
      </c>
      <c r="B86" s="161"/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Tomatoes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43466</v>
      </c>
      <c r="C4" s="38">
        <f>IFERROR(DATE(YEAR(B4),MONTH(B4)+ROUND(T4/2,0),DAY(B4)),B4)</f>
        <v>43525</v>
      </c>
      <c r="D4" s="38">
        <f>IFERROR(DATE(YEAR(B4),MONTH(B4)+T4,DAY(B4)),"")</f>
        <v>43556</v>
      </c>
      <c r="E4" s="38">
        <f>IFERROR(IF($S4=0,"",IF($S4=2,DATE(YEAR(B4),MONTH(B4)+6,DAY(B4)),IF($S4=1,B4,""))),"")</f>
        <v>43647</v>
      </c>
      <c r="F4" s="38">
        <f>IFERROR(IF($S4=0,"",IF($S4=2,DATE(YEAR(C4),MONTH(C4)+6,DAY(C4)),IF($S4=1,C4,""))),"")</f>
        <v>43709</v>
      </c>
      <c r="G4" s="38">
        <f>IFERROR(IF($S4=0,"",IF($S4=2,DATE(YEAR(D4),MONTH(D4)+6,DAY(D4)),IF($S4=1,D4,""))),"")</f>
        <v>43739</v>
      </c>
      <c r="H4" s="20">
        <f>Inputs!C7</f>
        <v>2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5056.15387098665</v>
      </c>
      <c r="M4" s="25">
        <f>L4*H4</f>
        <v>10112.3077419733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35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9000</v>
      </c>
      <c r="Z4" s="33">
        <f>IF(Inputs!I7=Parameters!$F$78,H4*INDEX(Parameters!$A$3:$AI$18,MATCH(Calculations!A4,Parameters!$A$3:$A$18,0),MATCH(Parameters!$Q$3,Parameters!$A$3:$AI$3,0)),0)</f>
        <v>12000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102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 t="str">
        <f>Inputs!A19</f>
        <v>Chicken_broilers</v>
      </c>
      <c r="B14" s="20" t="str">
        <f>IFERROR(VLOOKUP(A14,Parameters!$A$23:$B$30,2,0),"")</f>
        <v>meat</v>
      </c>
      <c r="C14" s="20" t="str">
        <f>IF(Inputs!A19=Parameters!$A$30,Inputs!B19,A14&amp;": "&amp;B14)</f>
        <v>Chicken_broilers: meat</v>
      </c>
      <c r="D14" s="16">
        <f>Inputs!C19</f>
        <v>0</v>
      </c>
      <c r="E14" s="16">
        <f>Inputs!D19</f>
        <v/>
      </c>
      <c r="F14">
        <f>IFERROR(INDEX(Parameters!$A$22:$P$29,MATCH(Calculations!$A14,Parameters!$A$22:$A$29,0),MATCH(Parameters!$P$22,Parameters!$A$22:$P$22,0)),"")</f>
        <v>1.5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1.26</v>
      </c>
      <c r="H14" s="121">
        <f>IFERROR(IF(B14="meat",INDEX(Parameters!$A$22:$P$29,MATCH(Calculations!A14,Parameters!$A$22:$A$29,0),MATCH(Parameters!$I$22,Parameters!$A$22:$P$22,0))*G14,""),"")</f>
        <v>1.26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43678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142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 Thika</v>
      </c>
    </row>
    <row r="33" spans="1:52">
      <c r="A33">
        <v>1</v>
      </c>
      <c r="B33" s="128">
        <f>G34</f>
        <v>43167</v>
      </c>
      <c r="C33" s="27">
        <f>IF(B33&lt;&gt;"",IF(COUNT($A$33:A33)&lt;=$G$39,0,$G$41)+IF(COUNT($A$33:A33)&lt;=$G$40,0,$G$42),0)</f>
        <v>45833.33333333333</v>
      </c>
      <c r="D33" s="170">
        <f>IFERROR(DATE(YEAR(B33),MONTH(B33),1)," ")</f>
        <v>43160</v>
      </c>
      <c r="F33" t="s">
        <v>157</v>
      </c>
      <c r="G33" s="128">
        <f>IF(Inputs!B79="","",DATE(YEAR(Inputs!B79),MONTH(Inputs!B79),DAY(Inputs!B79)))</f>
        <v>43139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43198</v>
      </c>
      <c r="C34" s="27">
        <f>IF(B34&lt;&gt;"",IF(COUNT($A$33:A34)&lt;=$G$39,0,$G$41)+IF(COUNT($A$33:A34)&lt;=$G$40,0,$G$42),0)</f>
        <v>45833.33333333333</v>
      </c>
      <c r="D34" s="170">
        <f>IFERROR(DATE(YEAR(B34),MONTH(B34),1)," ")</f>
        <v>43191</v>
      </c>
      <c r="F34" t="s">
        <v>158</v>
      </c>
      <c r="G34" s="128">
        <f>IF(Inputs!B80="","",DATE(YEAR(Inputs!B80),MONTH(Inputs!B80),DAY(Inputs!B80)))</f>
        <v>43167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43228</v>
      </c>
      <c r="C35" s="27">
        <f>IF(B35&lt;&gt;"",IF(COUNT($A$33:A35)&lt;=$G$39,0,$G$41)+IF(COUNT($A$33:A35)&lt;=$G$40,0,$G$42),0)</f>
        <v>45833.33333333333</v>
      </c>
      <c r="D35" s="170">
        <f>IFERROR(DATE(YEAR(B35),MONTH(B35),1)," ")</f>
        <v>43221</v>
      </c>
      <c r="F35" t="s">
        <v>160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43259</v>
      </c>
      <c r="C36" s="27">
        <f>IF(B36&lt;&gt;"",IF(COUNT($A$33:A36)&lt;=$G$39,0,$G$41)+IF(COUNT($A$33:A36)&lt;=$G$40,0,$G$42),0)</f>
        <v>45833.33333333333</v>
      </c>
      <c r="D36" s="170">
        <f>IFERROR(DATE(YEAR(B36),MONTH(B36),1)," ")</f>
        <v>43252</v>
      </c>
      <c r="F36" t="s">
        <v>161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43289</v>
      </c>
      <c r="C37" s="27">
        <f>IF(B37&lt;&gt;"",IF(COUNT($A$33:A37)&lt;=$G$39,0,$G$41)+IF(COUNT($A$33:A37)&lt;=$G$40,0,$G$42),0)</f>
        <v>45833.33333333333</v>
      </c>
      <c r="D37" s="170">
        <f>IFERROR(DATE(YEAR(B37),MONTH(B37),1)," ")</f>
        <v>43282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43320</v>
      </c>
      <c r="C38" s="27">
        <f>IF(B38&lt;&gt;"",IF(COUNT($A$33:A38)&lt;=$G$39,0,$G$41)+IF(COUNT($A$33:A38)&lt;=$G$40,0,$G$42),0)</f>
        <v>45833.33333333333</v>
      </c>
      <c r="D38" s="170">
        <f>IFERROR(DATE(YEAR(B38),MONTH(B38),1)," ")</f>
        <v>43313</v>
      </c>
      <c r="F38" t="s">
        <v>223</v>
      </c>
      <c r="G38" s="27">
        <f>IFERROR(Inputs!B85/Inputs!B84,"")</f>
        <v>6</v>
      </c>
    </row>
    <row r="39" spans="1:52">
      <c r="A39">
        <f>A38+1</f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>IFERROR(DATE(YEAR(B39),MONTH(B39),1)," ")</f>
        <v> </v>
      </c>
      <c r="F39" t="s">
        <v>166</v>
      </c>
      <c r="G39" s="27">
        <f>IF(Inputs!B86="",0,Inputs!B86)</f>
        <v>0</v>
      </c>
    </row>
    <row r="40" spans="1:52">
      <c r="A40">
        <f>A39+1</f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>IFERROR(DATE(YEAR(B40),MONTH(B40),1)," ")</f>
        <v> 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>IFERROR(DATE(YEAR(B41),MONTH(B41),1)," ")</f>
        <v> </v>
      </c>
      <c r="F41" t="s">
        <v>224</v>
      </c>
      <c r="G41" s="73">
        <f>IFERROR(G35/(G38-G39),"")</f>
        <v>41666.66666666666</v>
      </c>
      <c r="H41" s="73"/>
    </row>
    <row r="42" spans="1:52">
      <c r="A42">
        <f>A41+1</f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>IFERROR(DATE(YEAR(B42),MONTH(B42),1)," ")</f>
        <v> </v>
      </c>
      <c r="F42" t="s">
        <v>225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>IFERROR(DATE(YEAR(B43),MONTH(B43),1)," ")</f>
        <v> </v>
      </c>
    </row>
    <row r="44" spans="1:52">
      <c r="A44">
        <f>A43+1</f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>IFERROR(DATE(YEAR(B44),MONTH(B44),1)," ")</f>
        <v> 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89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102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198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114</v>
      </c>
      <c r="B24" s="21" t="s">
        <v>292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293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296</v>
      </c>
      <c r="B26" s="16" t="s">
        <v>292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297</v>
      </c>
      <c r="B27" s="71" t="s">
        <v>292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298</v>
      </c>
      <c r="B28" s="71" t="s">
        <v>292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292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292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102</v>
      </c>
      <c r="B41" s="191" t="s">
        <v>309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114</v>
      </c>
      <c r="B43" s="72">
        <v>450</v>
      </c>
      <c r="C43" s="72">
        <v>250</v>
      </c>
    </row>
    <row r="44" spans="1:36">
      <c r="A44" t="s">
        <v>293</v>
      </c>
      <c r="B44" s="72">
        <v>50000</v>
      </c>
      <c r="C44" s="72">
        <v>200000</v>
      </c>
    </row>
    <row r="45" spans="1:36">
      <c r="A45" t="s">
        <v>296</v>
      </c>
      <c r="B45" s="72">
        <v>25000</v>
      </c>
      <c r="C45" s="72">
        <v>50000</v>
      </c>
    </row>
    <row r="46" spans="1:36">
      <c r="A46" t="s">
        <v>297</v>
      </c>
      <c r="B46" s="72">
        <v>6000</v>
      </c>
      <c r="C46" s="72">
        <v>12000</v>
      </c>
    </row>
    <row r="47" spans="1:36">
      <c r="A47" t="s">
        <v>298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311</v>
      </c>
      <c r="H52" s="12" t="s">
        <v>133</v>
      </c>
      <c r="I52" s="12" t="s">
        <v>312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226</v>
      </c>
      <c r="E53" s="10" t="s">
        <v>185</v>
      </c>
      <c r="F53" s="10" t="s">
        <v>245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309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309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309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309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309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309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309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163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222</v>
      </c>
      <c r="J76" s="11" t="s">
        <v>345</v>
      </c>
      <c r="K76" s="11" t="s">
        <v>175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309</v>
      </c>
      <c r="F77" s="12" t="s">
        <v>309</v>
      </c>
      <c r="G77" s="12" t="s">
        <v>347</v>
      </c>
      <c r="H77" s="12" t="s">
        <v>133</v>
      </c>
      <c r="I77" s="12" t="s">
        <v>348</v>
      </c>
      <c r="J77" s="136" t="s">
        <v>349</v>
      </c>
      <c r="K77" s="12" t="s">
        <v>309</v>
      </c>
      <c r="AJ77" s="12"/>
    </row>
    <row r="78" spans="1:36">
      <c r="A78" t="s">
        <v>309</v>
      </c>
      <c r="B78" s="176">
        <v>5</v>
      </c>
      <c r="C78" s="134" t="s">
        <v>100</v>
      </c>
      <c r="D78" s="133"/>
      <c r="E78" s="12" t="s">
        <v>350</v>
      </c>
      <c r="F78" s="12" t="s">
        <v>93</v>
      </c>
      <c r="G78" s="12" t="s">
        <v>115</v>
      </c>
      <c r="H78" s="12" t="s">
        <v>312</v>
      </c>
      <c r="I78" s="12" t="s">
        <v>351</v>
      </c>
      <c r="J78" s="70" t="s">
        <v>352</v>
      </c>
      <c r="K78" s="12" t="s">
        <v>309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163</v>
      </c>
      <c r="J79" s="70" t="s">
        <v>356</v>
      </c>
      <c r="K79" s="12" t="s">
        <v>309</v>
      </c>
      <c r="AJ79" s="12"/>
    </row>
    <row r="80" spans="1:36">
      <c r="B80" s="176">
        <v>20</v>
      </c>
      <c r="C80" s="12" t="s">
        <v>357</v>
      </c>
      <c r="D80" s="12">
        <f>D79+1</f>
        <v>2</v>
      </c>
      <c r="E80" s="12" t="s">
        <v>97</v>
      </c>
      <c r="F80" s="12" t="s">
        <v>98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358</v>
      </c>
      <c r="D81" s="12">
        <f>D80+1</f>
        <v>3</v>
      </c>
      <c r="J81" s="70" t="s">
        <v>96</v>
      </c>
      <c r="K81" s="12" t="s">
        <v>92</v>
      </c>
    </row>
    <row r="82" spans="1:36">
      <c r="B82" s="176">
        <v>40</v>
      </c>
      <c r="C82" s="12" t="s">
        <v>359</v>
      </c>
      <c r="D82" s="12">
        <f>D81+1</f>
        <v>4</v>
      </c>
      <c r="J82" s="70"/>
    </row>
    <row r="83" spans="1:36">
      <c r="B83" s="176">
        <v>50</v>
      </c>
      <c r="C83" s="12" t="s">
        <v>360</v>
      </c>
      <c r="D83" s="12">
        <f>D82+1</f>
        <v>5</v>
      </c>
    </row>
    <row r="84" spans="1:36">
      <c r="B84" s="176">
        <v>60</v>
      </c>
      <c r="C84" s="12" t="s">
        <v>361</v>
      </c>
      <c r="D84" s="12">
        <f>D83+1</f>
        <v>6</v>
      </c>
    </row>
    <row r="85" spans="1:36">
      <c r="B85" s="176">
        <v>70</v>
      </c>
      <c r="C85" s="12" t="s">
        <v>362</v>
      </c>
      <c r="D85" s="12">
        <f>D84+1</f>
        <v>7</v>
      </c>
    </row>
    <row r="86" spans="1:36">
      <c r="B86" s="176">
        <v>80</v>
      </c>
      <c r="C86" s="12" t="s">
        <v>363</v>
      </c>
      <c r="D86" s="12">
        <f>D85+1</f>
        <v>8</v>
      </c>
    </row>
    <row r="87" spans="1:36">
      <c r="B87" s="176">
        <v>89.99999999999999</v>
      </c>
      <c r="C87" s="12" t="s">
        <v>364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127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