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<sst xmlns="http://schemas.openxmlformats.org/spreadsheetml/2006/main" uniqueCount="366">
  <si>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</si>
  <si>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</si>
  <si>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</si>
  <si>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</si>
  <si>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</si>
  <si>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</si>
  <si>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</si>
  <si>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</si>
  <si>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</si>
  <si>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</si>
  <si>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</si>
  <si>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</si>
  <si>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</si>
  <si>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</si>
  <si>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</si>
  <si>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</si>
  <si>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</si>
  <si>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</si>
  <si>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</si>
  <si>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</si>
  <si>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</si>
  <si>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</si>
  <si>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</si>
  <si>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</si>
  <si>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</si>
  <si>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</si>
  <si>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</si>
  <si>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</si>
  <si>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</si>
  <si>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</si>
  <si>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</si>
  <si>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</si>
  <si>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</si>
  <si>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</si>
  <si>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</si>
  <si>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</si>
  <si>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</si>
  <si>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</si>
  <si>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</si>
  <si>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</si>
  <si>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</si>
  <si>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</si>
  <si>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</si>
  <si>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</si>
  <si>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</si>
  <si>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</si>
  <si>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</si>
  <si>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</si>
  <si>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</si>
  <si>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</si>
  <si>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</si>
  <si>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</si>
  <si>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</si>
  <si>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</si>
  <si>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</si>
  <si>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</si>
  <si>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</si>
  <si>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</si>
  <si>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</si>
  <si>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</si>
  <si>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</si>
  <si>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</si>
  <si>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</si>
  <si>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</si>
  <si>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</si>
  <si>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</si>
  <si>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</si>
  <si>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</si>
  <si>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</si>
  <si>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</si>
  <si>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</si>
  <si>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</si>
  <si>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</si>
  <si>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</si>
  <si>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</si>
  <si>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</si>
  <si>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</si>
  <si>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</si>
  <si>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</si>
  <si>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</si>
  <si>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</si>
  <si>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</si>
  <si>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</si>
  <si>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</si>
  <si>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</si>
  <si>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</si>
  <si>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</si>
  <si>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</si>
  <si>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</si>
  <si>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</si>
  <si>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</si>
  <si>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</si>
  <si>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</si>
  <si>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</si>
  <si>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</si>
  <si>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</si>
  <si>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Mangoes</t>
  </si>
  <si>
    <t>Other farmers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</si>
  <si>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</si>
  <si>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</si>
  <si>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</si>
  <si>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</si>
  <si>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</si>
  <si>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</si>
  <si>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</si>
  <si>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</si>
  <si>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</si>
  <si>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</si>
  <si>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</si>
  <si>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</si>
  <si>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</si>
  <si>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</si>
  <si>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</si>
  <si>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</si>
  <si>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</si>
  <si>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</si>
  <si>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</si>
  <si>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</si>
  <si>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</si>
  <si>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</si>
  <si>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</si>
  <si>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</si>
  <si>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</si>
  <si>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</si>
  <si>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</si>
  <si>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</si>
  <si>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</si>
  <si>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</si>
  <si>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</si>
  <si>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</si>
  <si>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</si>
  <si>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</si>
  <si>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</si>
  <si>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</si>
  <si>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</si>
  <si>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</si>
  <si>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</si>
  <si>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</si>
  <si>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</si>
  <si>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</si>
  <si>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</si>
  <si>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</si>
  <si>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</si>
  <si>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</si>
  <si>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</si>
  <si>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2/8/2018</t>
  </si>
  <si>
    <t>Mpesa &amp; bank cash flows (from past statements)</t>
  </si>
  <si>
    <t>Cash inflows</t>
  </si>
  <si>
    <t>Cash outflows</t>
  </si>
  <si>
    <t>December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</si>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</sst>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2020,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Mangoes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1.736438356164383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2020</v>
      </c>
    </row>
    <row r="13" spans="1:7">
      <c r="B13" s="1" t="s">
        <v>8</v>
      </c>
      <c r="C13" s="67">
        <f>IFERROR(Output!B107/Output!B101,"")</f>
        <v>0.385254705400982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32558.21917808219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1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18880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18880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21705.47945205479</v>
      </c>
      <c r="D10" s="37">
        <f>SUMPRODUCT((Calculations!$D$33:$D$84=Output!D5)+0,Calculations!$C$33:$C$84)</f>
        <v>21705.47945205479</v>
      </c>
      <c r="E10" s="37">
        <f>SUMPRODUCT((Calculations!$D$33:$D$84=Output!E5)+0,Calculations!$C$33:$C$84)</f>
        <v>32558.21917808219</v>
      </c>
      <c r="F10" s="37">
        <f>SUMPRODUCT((Calculations!$D$33:$D$84=Output!F5)+0,Calculations!$C$33:$C$84)</f>
        <v>21705.47945205479</v>
      </c>
      <c r="G10" s="37">
        <f>SUMPRODUCT((Calculations!$D$33:$D$84=Output!G5)+0,Calculations!$C$33:$C$84)</f>
        <v>21705.47945205479</v>
      </c>
      <c r="H10" s="37">
        <f>SUMPRODUCT((Calculations!$D$33:$D$84=Output!H5)+0,Calculations!$C$33:$C$84)</f>
        <v>21705.47945205479</v>
      </c>
      <c r="I10" s="37">
        <f>SUMPRODUCT((Calculations!$D$33:$D$84=Output!I5)+0,Calculations!$C$33:$C$84)</f>
        <v>21705.47945205479</v>
      </c>
      <c r="J10" s="37">
        <f>SUMPRODUCT((Calculations!$D$33:$D$84=Output!J5)+0,Calculations!$C$33:$C$84)</f>
        <v>21705.47945205479</v>
      </c>
      <c r="K10" s="37">
        <f>SUMPRODUCT((Calculations!$D$33:$D$84=Output!K5)+0,Calculations!$C$33:$C$84)</f>
        <v>32558.21917808219</v>
      </c>
      <c r="L10" s="37">
        <f>SUMPRODUCT((Calculations!$D$33:$D$84=Output!L5)+0,Calculations!$C$33:$C$84)</f>
        <v>21705.47945205479</v>
      </c>
      <c r="M10" s="37">
        <f>SUMPRODUCT((Calculations!$D$33:$D$84=Output!M5)+0,Calculations!$C$33:$C$84)</f>
        <v>21705.47945205479</v>
      </c>
      <c r="N10" s="37">
        <f>SUMPRODUCT((Calculations!$D$33:$D$84=Output!N5)+0,Calculations!$C$33:$C$84)</f>
        <v>21705.47945205479</v>
      </c>
      <c r="O10" s="37">
        <f>SUMPRODUCT((Calculations!$D$33:$D$84=Output!O5)+0,Calculations!$C$33:$C$84)</f>
        <v>21705.47945205479</v>
      </c>
      <c r="P10" s="37">
        <f>SUMPRODUCT((Calculations!$D$33:$D$84=Output!P5)+0,Calculations!$C$33:$C$84)</f>
        <v>21705.47945205479</v>
      </c>
      <c r="Q10" s="37">
        <f>SUMPRODUCT((Calculations!$D$33:$D$84=Output!Q5)+0,Calculations!$C$33:$C$84)</f>
        <v>32558.21917808219</v>
      </c>
      <c r="R10" s="37">
        <f>SUMPRODUCT((Calculations!$D$33:$D$84=Output!R5)+0,Calculations!$C$33:$C$84)</f>
        <v>21705.47945205479</v>
      </c>
      <c r="S10" s="37">
        <f>SUMPRODUCT((Calculations!$D$33:$D$84=Output!S5)+0,Calculations!$C$33:$C$84)</f>
        <v>21705.47945205479</v>
      </c>
      <c r="T10" s="37">
        <f>SUMPRODUCT((Calculations!$D$33:$D$84=Output!T5)+0,Calculations!$C$33:$C$84)</f>
        <v>21705.47945205479</v>
      </c>
      <c r="U10" s="37">
        <f>SUMPRODUCT((Calculations!$D$33:$D$84=Output!U5)+0,Calculations!$C$33:$C$84)</f>
        <v>21705.47945205479</v>
      </c>
      <c r="V10" s="37">
        <f>SUMPRODUCT((Calculations!$D$33:$D$84=Output!V5)+0,Calculations!$C$33:$C$84)</f>
        <v>32558.21917808219</v>
      </c>
      <c r="W10" s="37">
        <f>SUMPRODUCT((Calculations!$D$33:$D$84=Output!W5)+0,Calculations!$C$33:$C$84)</f>
        <v>21705.47945205479</v>
      </c>
      <c r="X10" s="37">
        <f>SUMPRODUCT((Calculations!$D$33:$D$84=Output!X5)+0,Calculations!$C$33:$C$84)</f>
        <v>21705.47945205479</v>
      </c>
      <c r="Y10" s="37">
        <f>SUMPRODUCT((Calculations!$D$33:$D$84=Output!Y5)+0,Calculations!$C$33:$C$84)</f>
        <v>0</v>
      </c>
      <c r="Z10" s="37">
        <f>SUMIF($B$13:$Y$13,"Yes",B10:Y10)</f>
        <v>520931.5068493149</v>
      </c>
      <c r="AA10" s="37">
        <f>SUM(B10:M10)</f>
        <v>260465.7534246576</v>
      </c>
      <c r="AB10" s="37">
        <f>SUM(B10:Y10)</f>
        <v>520931.5068493149</v>
      </c>
    </row>
    <row r="11" spans="1:30" customHeight="1" ht="15.75">
      <c r="A11" s="43" t="s">
        <v>31</v>
      </c>
      <c r="B11" s="80">
        <f>B6+B9-B10</f>
        <v>300000</v>
      </c>
      <c r="C11" s="80">
        <f>C6+C9-C10</f>
        <v>-21705.47945205479</v>
      </c>
      <c r="D11" s="80">
        <f>D6+D9-D10</f>
        <v>-21705.47945205479</v>
      </c>
      <c r="E11" s="80">
        <f>E6+E9-E10</f>
        <v>-32558.21917808219</v>
      </c>
      <c r="F11" s="80">
        <f>F6+F9-F10</f>
        <v>-21705.47945205479</v>
      </c>
      <c r="G11" s="80">
        <f>G6+G9-G10</f>
        <v>-21705.47945205479</v>
      </c>
      <c r="H11" s="80">
        <f>H6+H9-H10</f>
        <v>-21705.47945205479</v>
      </c>
      <c r="I11" s="80">
        <f>I6+I9-I10</f>
        <v>-21705.47945205479</v>
      </c>
      <c r="J11" s="80">
        <f>J6+J9-J10</f>
        <v>-21705.47945205479</v>
      </c>
      <c r="K11" s="80">
        <f>K6+K9-K10</f>
        <v>-32558.21917808219</v>
      </c>
      <c r="L11" s="80">
        <f>L6+L9-L10</f>
        <v>-21705.47945205479</v>
      </c>
      <c r="M11" s="80">
        <f>M6+M9-M10</f>
        <v>-21705.47945205479</v>
      </c>
      <c r="N11" s="80">
        <f>N6+N9-N10</f>
        <v>-21705.47945205479</v>
      </c>
      <c r="O11" s="80">
        <f>O6+O9-O10</f>
        <v>-21705.47945205479</v>
      </c>
      <c r="P11" s="80">
        <f>P6+P9-P10</f>
        <v>-21705.47945205479</v>
      </c>
      <c r="Q11" s="80">
        <f>Q6+Q9-Q10</f>
        <v>-32558.21917808219</v>
      </c>
      <c r="R11" s="80">
        <f>R6+R9-R10</f>
        <v>-21705.47945205479</v>
      </c>
      <c r="S11" s="80">
        <f>S6+S9-S10</f>
        <v>-21705.47945205479</v>
      </c>
      <c r="T11" s="80">
        <f>T6+T9-T10</f>
        <v>-21705.47945205479</v>
      </c>
      <c r="U11" s="80">
        <f>U6+U9-U10</f>
        <v>-21705.47945205479</v>
      </c>
      <c r="V11" s="80">
        <f>V6+V9-V10</f>
        <v>-32558.21917808219</v>
      </c>
      <c r="W11" s="80">
        <f>W6+W9-W10</f>
        <v>-21705.47945205479</v>
      </c>
      <c r="X11" s="80">
        <f>X6+X9-X10</f>
        <v>-21705.47945205479</v>
      </c>
      <c r="Y11" s="80">
        <f>Y6+Y9-Y10</f>
        <v>0</v>
      </c>
      <c r="Z11" s="85">
        <f>SUMIF($B$13:$Y$13,"Yes",B11:Y11)</f>
        <v>-220931.5068493151</v>
      </c>
      <c r="AA11" s="80">
        <f>SUM(B11:M11)</f>
        <v>39534.24657534245</v>
      </c>
      <c r="AB11" s="46">
        <f>SUM(B11:Y11)</f>
        <v>-220931.5068493151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0.07235159817351598</v>
      </c>
      <c r="D12" s="82">
        <f>IF(D13="Yes",IF(SUM($B$10:D10)/(SUM($B$6:D6)+SUM($B$9:D9))&lt;0,999.99,SUM($B$10:D10)/(SUM($B$6:D6)+SUM($B$9:D9))),"")</f>
        <v>0.144703196347032</v>
      </c>
      <c r="E12" s="82">
        <f>IF(E13="Yes",IF(SUM($B$10:E10)/(SUM($B$6:E6)+SUM($B$9:E9))&lt;0,999.99,SUM($B$10:E10)/(SUM($B$6:E6)+SUM($B$9:E9))),"")</f>
        <v>0.2532305936073059</v>
      </c>
      <c r="F12" s="82">
        <f>IF(F13="Yes",IF(SUM($B$10:F10)/(SUM($B$6:F6)+SUM($B$9:F9))&lt;0,999.99,SUM($B$10:F10)/(SUM($B$6:F6)+SUM($B$9:F9))),"")</f>
        <v>0.3255821917808219</v>
      </c>
      <c r="G12" s="82">
        <f>IF(G13="Yes",IF(SUM($B$10:G10)/(SUM($B$6:G6)+SUM($B$9:G9))&lt;0,999.99,SUM($B$10:G10)/(SUM($B$6:G6)+SUM($B$9:G9))),"")</f>
        <v>0.3979337899543379</v>
      </c>
      <c r="H12" s="82">
        <f>IF(H13="Yes",IF(SUM($B$10:H10)/(SUM($B$6:H6)+SUM($B$9:H9))&lt;0,999.99,SUM($B$10:H10)/(SUM($B$6:H6)+SUM($B$9:H9))),"")</f>
        <v>0.4702853881278539</v>
      </c>
      <c r="I12" s="82">
        <f>IF(I13="Yes",IF(SUM($B$10:I10)/(SUM($B$6:I6)+SUM($B$9:I9))&lt;0,999.99,SUM($B$10:I10)/(SUM($B$6:I6)+SUM($B$9:I9))),"")</f>
        <v>0.5426369863013699</v>
      </c>
      <c r="J12" s="82">
        <f>IF(J13="Yes",IF(SUM($B$10:J10)/(SUM($B$6:J6)+SUM($B$9:J9))&lt;0,999.99,SUM($B$10:J10)/(SUM($B$6:J6)+SUM($B$9:J9))),"")</f>
        <v>0.6149885844748859</v>
      </c>
      <c r="K12" s="82">
        <f>IF(K13="Yes",IF(SUM($B$10:K10)/(SUM($B$6:K6)+SUM($B$9:K9))&lt;0,999.99,SUM($B$10:K10)/(SUM($B$6:K6)+SUM($B$9:K9))),"")</f>
        <v>0.7235159817351599</v>
      </c>
      <c r="L12" s="82">
        <f>IF(L13="Yes",IF(SUM($B$10:L10)/(SUM($B$6:L6)+SUM($B$9:L9))&lt;0,999.99,SUM($B$10:L10)/(SUM($B$6:L6)+SUM($B$9:L9))),"")</f>
        <v>0.7958675799086758</v>
      </c>
      <c r="M12" s="82">
        <f>IF(M13="Yes",IF(SUM($B$10:M10)/(SUM($B$6:M6)+SUM($B$9:M9))&lt;0,999.99,SUM($B$10:M10)/(SUM($B$6:M6)+SUM($B$9:M9))),"")</f>
        <v>0.8682191780821918</v>
      </c>
      <c r="N12" s="82">
        <f>IF(N13="Yes",IF(SUM($B$10:N10)/(SUM($B$6:N6)+SUM($B$9:N9))&lt;0,999.99,SUM($B$10:N10)/(SUM($B$6:N6)+SUM($B$9:N9))),"")</f>
        <v>0.9405707762557078</v>
      </c>
      <c r="O12" s="82">
        <f>IF(O13="Yes",IF(SUM($B$10:O10)/(SUM($B$6:O6)+SUM($B$9:O9))&lt;0,999.99,SUM($B$10:O10)/(SUM($B$6:O6)+SUM($B$9:O9))),"")</f>
        <v>1.012922374429224</v>
      </c>
      <c r="P12" s="82">
        <f>IF(P13="Yes",IF(SUM($B$10:P10)/(SUM($B$6:P6)+SUM($B$9:P9))&lt;0,999.99,SUM($B$10:P10)/(SUM($B$6:P6)+SUM($B$9:P9))),"")</f>
        <v>1.08527397260274</v>
      </c>
      <c r="Q12" s="82">
        <f>IF(Q13="Yes",IF(SUM($B$10:Q10)/(SUM($B$6:Q6)+SUM($B$9:Q9))&lt;0,999.99,SUM($B$10:Q10)/(SUM($B$6:Q6)+SUM($B$9:Q9))),"")</f>
        <v>1.193801369863014</v>
      </c>
      <c r="R12" s="82">
        <f>IF(R13="Yes",IF(SUM($B$10:R10)/(SUM($B$6:R6)+SUM($B$9:R9))&lt;0,999.99,SUM($B$10:R10)/(SUM($B$6:R6)+SUM($B$9:R9))),"")</f>
        <v>1.26615296803653</v>
      </c>
      <c r="S12" s="82">
        <f>IF(S13="Yes",IF(SUM($B$10:S10)/(SUM($B$6:S6)+SUM($B$9:S9))&lt;0,999.99,SUM($B$10:S10)/(SUM($B$6:S6)+SUM($B$9:S9))),"")</f>
        <v>1.338504566210045</v>
      </c>
      <c r="T12" s="82">
        <f>IF(T13="Yes",IF(SUM($B$10:T10)/(SUM($B$6:T6)+SUM($B$9:T9))&lt;0,999.99,SUM($B$10:T10)/(SUM($B$6:T6)+SUM($B$9:T9))),"")</f>
        <v>1.410856164383561</v>
      </c>
      <c r="U12" s="82">
        <f>IF(U13="Yes",IF(SUM($B$10:U10)/(SUM($B$6:U6)+SUM($B$9:U9))&lt;0,999.99,SUM($B$10:U10)/(SUM($B$6:U6)+SUM($B$9:U9))),"")</f>
        <v>1.483207762557077</v>
      </c>
      <c r="V12" s="82">
        <f>IF(V13="Yes",IF(SUM($B$10:V10)/(SUM($B$6:V6)+SUM($B$9:V9))&lt;0,999.99,SUM($B$10:V10)/(SUM($B$6:V6)+SUM($B$9:V9))),"")</f>
        <v>1.591735159817351</v>
      </c>
      <c r="W12" s="82">
        <f>IF(W13="Yes",IF(SUM($B$10:W10)/(SUM($B$6:W6)+SUM($B$9:W9))&lt;0,999.99,SUM($B$10:W10)/(SUM($B$6:W6)+SUM($B$9:W9))),"")</f>
        <v>1.664086757990867</v>
      </c>
      <c r="X12" s="82">
        <f>IF(X13="Yes",IF(SUM($B$10:X10)/(SUM($B$6:X6)+SUM($B$9:X9))&lt;0,999.99,SUM($B$10:X10)/(SUM($B$6:X6)+SUM($B$9:X9))),"")</f>
        <v>1.736438356164383</v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 t="str">
        <f>IF(Calculations!A8&lt;&gt;Parameters!$A$18,IF(Calculations!A8=0,"",Calculations!A8),Inputs!B11)</f>
        <v>Mangoes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Mangoes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Mangoes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Mangoes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Mangoes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Mangoes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Mangoes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24000</v>
      </c>
    </row>
    <row r="95" spans="1:30">
      <c r="A95" t="s">
        <v>61</v>
      </c>
      <c r="B95" s="36">
        <f>Inputs!B47</f>
        <v>108080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782080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1300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301300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96</v>
      </c>
      <c r="B11" s="23"/>
      <c r="C11" s="144">
        <v>0</v>
      </c>
      <c r="D11" s="23"/>
      <c r="E11" s="150" t="s">
        <v>97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 t="s">
        <v>113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112</v>
      </c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100</v>
      </c>
    </row>
    <row r="27" spans="1:48">
      <c r="A27" s="14" t="s">
        <v>116</v>
      </c>
    </row>
    <row r="29" spans="1:48">
      <c r="A29" s="45" t="s">
        <v>117</v>
      </c>
      <c r="B29" s="156"/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0</v>
      </c>
    </row>
    <row r="46" spans="1:48" customHeight="1" ht="30">
      <c r="A46" s="57" t="s">
        <v>133</v>
      </c>
      <c r="B46" s="161">
        <v>50000</v>
      </c>
    </row>
    <row r="47" spans="1:48" customHeight="1" ht="30">
      <c r="A47" s="57" t="s">
        <v>134</v>
      </c>
      <c r="B47" s="161">
        <v>108080</v>
      </c>
    </row>
    <row r="48" spans="1:48" customHeight="1" ht="30">
      <c r="A48" s="57" t="s">
        <v>135</v>
      </c>
      <c r="B48" s="161">
        <v>600000</v>
      </c>
    </row>
    <row r="49" spans="1:48" customHeight="1" ht="30">
      <c r="A49" s="57" t="s">
        <v>136</v>
      </c>
      <c r="B49" s="161">
        <v>24000</v>
      </c>
    </row>
    <row r="50" spans="1:48">
      <c r="A50" s="43"/>
      <c r="B50" s="36"/>
    </row>
    <row r="51" spans="1:48">
      <c r="A51" s="58" t="s">
        <v>137</v>
      </c>
      <c r="B51" s="161">
        <v>1300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0</v>
      </c>
      <c r="B56" s="159">
        <v>0</v>
      </c>
      <c r="C56" s="162" t="s">
        <v>145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145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145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145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145</v>
      </c>
      <c r="D60" s="167"/>
      <c r="E60" s="167" t="s">
        <v>92</v>
      </c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147</v>
      </c>
      <c r="C65" s="10" t="s">
        <v>148</v>
      </c>
    </row>
    <row r="66" spans="1:48">
      <c r="A66" s="142" t="s">
        <v>149</v>
      </c>
      <c r="B66" s="159">
        <v>27480</v>
      </c>
      <c r="C66" s="163">
        <v>8600</v>
      </c>
      <c r="D66" s="49">
        <f>INDEX(Parameters!$D$79:$D$90,MATCH(Inputs!A66,Parameters!$C$79:$C$90,0))</f>
        <v>12</v>
      </c>
    </row>
    <row r="67" spans="1:48">
      <c r="A67" s="143" t="s">
        <v>149</v>
      </c>
      <c r="B67" s="157">
        <v>24000</v>
      </c>
      <c r="C67" s="165">
        <v>9000</v>
      </c>
      <c r="D67" s="49">
        <f>INDEX(Parameters!$D$79:$D$90,MATCH(Inputs!A67,Parameters!$C$79:$C$90,0))</f>
        <v>12</v>
      </c>
    </row>
    <row r="68" spans="1:48">
      <c r="A68" s="143" t="s">
        <v>149</v>
      </c>
      <c r="B68" s="157">
        <v>30000</v>
      </c>
      <c r="C68" s="165">
        <v>10000</v>
      </c>
      <c r="D68" s="49">
        <f>INDEX(Parameters!$D$79:$D$90,MATCH(Inputs!A68,Parameters!$C$79:$C$90,0))</f>
        <v>12</v>
      </c>
    </row>
    <row r="69" spans="1:48">
      <c r="A69" s="143" t="s">
        <v>149</v>
      </c>
      <c r="B69" s="157">
        <v>25000</v>
      </c>
      <c r="C69" s="165">
        <v>3500</v>
      </c>
      <c r="D69" s="49">
        <f>INDEX(Parameters!$D$79:$D$90,MATCH(Inputs!A69,Parameters!$C$79:$C$90,0))</f>
        <v>12</v>
      </c>
    </row>
    <row r="70" spans="1:48">
      <c r="A70" s="143" t="s">
        <v>149</v>
      </c>
      <c r="B70" s="157">
        <v>24000</v>
      </c>
      <c r="C70" s="165">
        <v>200</v>
      </c>
      <c r="D70" s="49">
        <f>INDEX(Parameters!$D$79:$D$90,MATCH(Inputs!A70,Parameters!$C$79:$C$90,0))</f>
        <v>12</v>
      </c>
    </row>
    <row r="71" spans="1:48">
      <c r="A71" s="144" t="s">
        <v>149</v>
      </c>
      <c r="B71" s="158">
        <v>15000</v>
      </c>
      <c r="C71" s="167">
        <v>2000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48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Mangoes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No</v>
      </c>
      <c r="J8" s="28" t="str">
        <f>IFERROR(Inputs!G11/Calculations!H8,"")</f>
        <v/>
      </c>
      <c r="K8" s="28">
        <f>IFERROR(INDEX(Parameters!$A$3:$V$17,MATCH(Calculations!$A8,Parameters!$A$3:$A$17,0),MATCH(Parameters!$I$3,Parameters!$A$3:$V$3,0)),0)</f>
        <v>3500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4468.241490960482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4.199999999999999</v>
      </c>
      <c r="P8" s="24">
        <f>IFERROR(INDEX(Parameters!$A$3:$V$17,MATCH(Calculations!$A8,Parameters!$A$3:$A$17,0),MATCH($P$3,Parameters!$A$3:$V$3,0)),0)</f>
        <v>0</v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2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N/A</v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0.2290076335877863</v>
      </c>
      <c r="AD8" s="24">
        <f>IF($A8=0,1/12,IFERROR(INDEX(Parameters!$X$2:$AI$17,MATCH(Calculations!$A8,Parameters!$A$2:$A$17,0),MONTH(Calculations!AD$3)),1/12))</f>
        <v>0.1374045801526718</v>
      </c>
      <c r="AE8" s="24">
        <f>IF($A8=0,1/12,IFERROR(INDEX(Parameters!$X$2:$AI$17,MATCH(Calculations!$A8,Parameters!$A$2:$A$17,0),MONTH(Calculations!AE$3)),1/12))</f>
        <v>0.03816793893129772</v>
      </c>
      <c r="AF8" s="24">
        <f>IF($A8=0,1/12,IFERROR(INDEX(Parameters!$X$2:$AI$17,MATCH(Calculations!$A8,Parameters!$A$2:$A$17,0),MONTH(Calculations!AF$3)),1/12))</f>
        <v>0.007633587786259543</v>
      </c>
      <c r="AG8" s="24">
        <f>IF($A8=0,1/12,IFERROR(INDEX(Parameters!$X$2:$AI$17,MATCH(Calculations!$A8,Parameters!$A$2:$A$17,0),MONTH(Calculations!AG$3)),1/12))</f>
        <v>0.007633587786259543</v>
      </c>
      <c r="AH8" s="24">
        <f>IF($A8=0,1/12,IFERROR(INDEX(Parameters!$X$2:$AI$17,MATCH(Calculations!$A8,Parameters!$A$2:$A$17,0),MONTH(Calculations!AH$3)),1/12))</f>
        <v>0.007633587786259543</v>
      </c>
      <c r="AI8" s="24">
        <f>IF($A8=0,1/12,IFERROR(INDEX(Parameters!$X$2:$AI$17,MATCH(Calculations!$A8,Parameters!$A$2:$A$17,0),MONTH(Calculations!AI$3)),1/12))</f>
        <v>0.007633587786259543</v>
      </c>
      <c r="AJ8" s="24">
        <f>IF($A8=0,1/12,IFERROR(INDEX(Parameters!$X$2:$AI$17,MATCH(Calculations!$A8,Parameters!$A$2:$A$17,0),MONTH(Calculations!AJ$3)),1/12))</f>
        <v>0.03053435114503817</v>
      </c>
      <c r="AK8" s="24">
        <f>IF($A8=0,1/12,IFERROR(INDEX(Parameters!$X$2:$AI$17,MATCH(Calculations!$A8,Parameters!$A$2:$A$17,0),MONTH(Calculations!AK$3)),1/12))</f>
        <v>0.04580152671755726</v>
      </c>
      <c r="AL8" s="24">
        <f>IF($A8=0,1/12,IFERROR(INDEX(Parameters!$X$2:$AI$17,MATCH(Calculations!$A8,Parameters!$A$2:$A$17,0),MONTH(Calculations!AL$3)),1/12))</f>
        <v>0.07633587786259544</v>
      </c>
      <c r="AM8" s="24">
        <f>IF($A8=0,1/12,IFERROR(INDEX(Parameters!$X$2:$AI$17,MATCH(Calculations!$A8,Parameters!$A$2:$A$17,0),MONTH(Calculations!AM$3)),1/12))</f>
        <v>0.183206106870229</v>
      </c>
      <c r="AN8" s="24">
        <f>IF($A8=0,1/12,IFERROR(INDEX(Parameters!$X$2:$AI$17,MATCH(Calculations!$A8,Parameters!$A$2:$A$17,0),MONTH(Calculations!AN$3)),1/12))</f>
        <v>0.2290076335877863</v>
      </c>
      <c r="AO8" s="24">
        <f>IF($A8=0,1/12,IFERROR(INDEX(Parameters!$X$2:$AI$17,MATCH(Calculations!$A8,Parameters!$A$2:$A$17,0),MONTH(Calculations!AO$3)),1/12))</f>
        <v>0.2290076335877863</v>
      </c>
      <c r="AP8" s="24">
        <f>IF($A8=0,1/12,IFERROR(INDEX(Parameters!$X$2:$AI$17,MATCH(Calculations!$A8,Parameters!$A$2:$A$17,0),MONTH(Calculations!AP$3)),1/12))</f>
        <v>0.1374045801526718</v>
      </c>
      <c r="AQ8" s="24">
        <f>IF($A8=0,1/12,IFERROR(INDEX(Parameters!$X$2:$AI$17,MATCH(Calculations!$A8,Parameters!$A$2:$A$17,0),MONTH(Calculations!AQ$3)),1/12))</f>
        <v>0.03816793893129772</v>
      </c>
      <c r="AR8" s="24">
        <f>IF($A8=0,1/12,IFERROR(INDEX(Parameters!$X$2:$AI$17,MATCH(Calculations!$A8,Parameters!$A$2:$A$17,0),MONTH(Calculations!AR$3)),1/12))</f>
        <v>0.007633587786259543</v>
      </c>
      <c r="AS8" s="24">
        <f>IF($A8=0,1/12,IFERROR(INDEX(Parameters!$X$2:$AI$17,MATCH(Calculations!$A8,Parameters!$A$2:$A$17,0),MONTH(Calculations!AS$3)),1/12))</f>
        <v>0.007633587786259543</v>
      </c>
      <c r="AT8" s="24">
        <f>IF($A8=0,1/12,IFERROR(INDEX(Parameters!$X$2:$AI$17,MATCH(Calculations!$A8,Parameters!$A$2:$A$17,0),MONTH(Calculations!AT$3)),1/12))</f>
        <v>0.007633587786259543</v>
      </c>
      <c r="AU8" s="24">
        <f>IF($A8=0,1/12,IFERROR(INDEX(Parameters!$X$2:$AI$17,MATCH(Calculations!$A8,Parameters!$A$2:$A$17,0),MONTH(Calculations!AU$3)),1/12))</f>
        <v>0.007633587786259543</v>
      </c>
      <c r="AV8" s="24">
        <f>IF($A8=0,1/12,IFERROR(INDEX(Parameters!$X$2:$AI$17,MATCH(Calculations!$A8,Parameters!$A$2:$A$17,0),MONTH(Calculations!AV$3)),1/12))</f>
        <v>0.03053435114503817</v>
      </c>
      <c r="AW8" s="24">
        <f>IF($A8=0,1/12,IFERROR(INDEX(Parameters!$X$2:$AI$17,MATCH(Calculations!$A8,Parameters!$A$2:$A$17,0),MONTH(Calculations!AW$3)),1/12))</f>
        <v>0.04580152671755726</v>
      </c>
      <c r="AX8" s="24">
        <f>IF($A8=0,1/12,IFERROR(INDEX(Parameters!$X$2:$AI$17,MATCH(Calculations!$A8,Parameters!$A$2:$A$17,0),MONTH(Calculations!AX$3)),1/12))</f>
        <v>0.07633587786259544</v>
      </c>
      <c r="AY8" s="24">
        <f>IF($A8=0,1/12,IFERROR(INDEX(Parameters!$X$2:$AI$17,MATCH(Calculations!$A8,Parameters!$A$2:$A$17,0),MONTH(Calculations!AY$3)),1/12))</f>
        <v>0.183206106870229</v>
      </c>
      <c r="AZ8" s="24">
        <f>IF($A8=0,1/12,IFERROR(INDEX(Parameters!$X$2:$AI$17,MATCH(Calculations!$A8,Parameters!$A$2:$A$17,0),MONTH(Calculations!AZ$3)),1/12))</f>
        <v>0.2290076335877863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10852.7397260274</v>
      </c>
      <c r="D33" s="170">
        <f>IFERROR(DATE(YEAR(B33),MONTH(B33),1)," ")</f>
        <v>43160</v>
      </c>
      <c r="F33" t="s">
        <v>155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10852.7397260274</v>
      </c>
      <c r="D34" s="170">
        <f>IFERROR(DATE(YEAR(B34),MONTH(B34),1)," ")</f>
        <v>43160</v>
      </c>
      <c r="F34" t="s">
        <v>156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43195</v>
      </c>
      <c r="C35" s="27">
        <f>IF(B35&lt;&gt;"",IF(COUNT($A$33:A35)&lt;=$G$39,0,$G$41)+IF(COUNT($A$33:A35)&lt;=$G$40,0,$G$42),0)</f>
        <v>10852.7397260274</v>
      </c>
      <c r="D35" s="170">
        <f>IFERROR(DATE(YEAR(B35),MONTH(B35),1)," ")</f>
        <v>43191</v>
      </c>
      <c r="F35" t="s">
        <v>158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43209</v>
      </c>
      <c r="C36" s="27">
        <f>IF(B36&lt;&gt;"",IF(COUNT($A$33:A36)&lt;=$G$39,0,$G$41)+IF(COUNT($A$33:A36)&lt;=$G$40,0,$G$42),0)</f>
        <v>10852.7397260274</v>
      </c>
      <c r="D36" s="170">
        <f>IFERROR(DATE(YEAR(B36),MONTH(B36),1)," ")</f>
        <v>43191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43223</v>
      </c>
      <c r="C37" s="27">
        <f>IF(B37&lt;&gt;"",IF(COUNT($A$33:A37)&lt;=$G$39,0,$G$41)+IF(COUNT($A$33:A37)&lt;=$G$40,0,$G$42),0)</f>
        <v>10852.7397260274</v>
      </c>
      <c r="D37" s="170">
        <f>IFERROR(DATE(YEAR(B37),MONTH(B37),1)," ")</f>
        <v>43221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Weekly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43237</v>
      </c>
      <c r="C38" s="27">
        <f>IF(B38&lt;&gt;"",IF(COUNT($A$33:A38)&lt;=$G$39,0,$G$41)+IF(COUNT($A$33:A38)&lt;=$G$40,0,$G$42),0)</f>
        <v>10852.7397260274</v>
      </c>
      <c r="D38" s="170">
        <f>IFERROR(DATE(YEAR(B38),MONTH(B38),1)," ")</f>
        <v>43221</v>
      </c>
      <c r="F38" t="s">
        <v>221</v>
      </c>
      <c r="G38" s="27">
        <f>IFERROR(Inputs!B85/Inputs!B84,"")</f>
        <v>48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43251</v>
      </c>
      <c r="C39" s="27">
        <f>IF(B39&lt;&gt;"",IF(COUNT($A$33:A39)&lt;=$G$39,0,$G$41)+IF(COUNT($A$33:A39)&lt;=$G$40,0,$G$42),0)</f>
        <v>10852.7397260274</v>
      </c>
      <c r="D39" s="170">
        <f>IFERROR(DATE(YEAR(B39),MONTH(B39),1)," ")</f>
        <v>43221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43265</v>
      </c>
      <c r="C40" s="27">
        <f>IF(B40&lt;&gt;"",IF(COUNT($A$33:A40)&lt;=$G$39,0,$G$41)+IF(COUNT($A$33:A40)&lt;=$G$40,0,$G$42),0)</f>
        <v>10852.7397260274</v>
      </c>
      <c r="D40" s="170">
        <f>IFERROR(DATE(YEAR(B40),MONTH(B40),1)," ")</f>
        <v>43252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43279</v>
      </c>
      <c r="C41" s="27">
        <f>IF(B41&lt;&gt;"",IF(COUNT($A$33:A41)&lt;=$G$39,0,$G$41)+IF(COUNT($A$33:A41)&lt;=$G$40,0,$G$42),0)</f>
        <v>10852.7397260274</v>
      </c>
      <c r="D41" s="170">
        <f>IFERROR(DATE(YEAR(B41),MONTH(B41),1)," ")</f>
        <v>43252</v>
      </c>
      <c r="F41" t="s">
        <v>222</v>
      </c>
      <c r="G41" s="73">
        <f>IFERROR(G35/(G38-G39),"")</f>
        <v>6250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43293</v>
      </c>
      <c r="C42" s="27">
        <f>IF(B42&lt;&gt;"",IF(COUNT($A$33:A42)&lt;=$G$39,0,$G$41)+IF(COUNT($A$33:A42)&lt;=$G$40,0,$G$42),0)</f>
        <v>10852.7397260274</v>
      </c>
      <c r="D42" s="170">
        <f>IFERROR(DATE(YEAR(B42),MONTH(B42),1)," ")</f>
        <v>43282</v>
      </c>
      <c r="F42" t="s">
        <v>223</v>
      </c>
      <c r="G42" s="73">
        <f>IFERROR(G35*G36*IF(G37="Monthly",G38/12,IF(G37="Fortnightly",G38/(365/14),G38/(365/28)))/(G38-G40),"")</f>
        <v>4602.739726027397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43307</v>
      </c>
      <c r="C43" s="27">
        <f>IF(B43&lt;&gt;"",IF(COUNT($A$33:A43)&lt;=$G$39,0,$G$41)+IF(COUNT($A$33:A43)&lt;=$G$40,0,$G$42),0)</f>
        <v>10852.7397260274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43321</v>
      </c>
      <c r="C44" s="27">
        <f>IF(B44&lt;&gt;"",IF(COUNT($A$33:A44)&lt;=$G$39,0,$G$41)+IF(COUNT($A$33:A44)&lt;=$G$40,0,$G$42),0)</f>
        <v>10852.7397260274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43335</v>
      </c>
      <c r="C45" s="27">
        <f>IF(B45&lt;&gt;"",IF(COUNT($A$33:A45)&lt;=$G$39,0,$G$41)+IF(COUNT($A$33:A45)&lt;=$G$40,0,$G$42),0)</f>
        <v>10852.7397260274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43349</v>
      </c>
      <c r="C46" s="27">
        <f>IF(B46&lt;&gt;"",IF(COUNT($A$33:A46)&lt;=$G$39,0,$G$41)+IF(COUNT($A$33:A46)&lt;=$G$40,0,$G$42),0)</f>
        <v>10852.7397260274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43363</v>
      </c>
      <c r="C47" s="27">
        <f>IF(B47&lt;&gt;"",IF(COUNT($A$33:A47)&lt;=$G$39,0,$G$41)+IF(COUNT($A$33:A47)&lt;=$G$40,0,$G$42),0)</f>
        <v>10852.7397260274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43377</v>
      </c>
      <c r="C48" s="27">
        <f>IF(B48&lt;&gt;"",IF(COUNT($A$33:A48)&lt;=$G$39,0,$G$41)+IF(COUNT($A$33:A48)&lt;=$G$40,0,$G$42),0)</f>
        <v>10852.7397260274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43391</v>
      </c>
      <c r="C49" s="27">
        <f>IF(B49&lt;&gt;"",IF(COUNT($A$33:A49)&lt;=$G$39,0,$G$41)+IF(COUNT($A$33:A49)&lt;=$G$40,0,$G$42),0)</f>
        <v>10852.7397260274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43405</v>
      </c>
      <c r="C50" s="27">
        <f>IF(B50&lt;&gt;"",IF(COUNT($A$33:A50)&lt;=$G$39,0,$G$41)+IF(COUNT($A$33:A50)&lt;=$G$40,0,$G$42),0)</f>
        <v>10852.7397260274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43419</v>
      </c>
      <c r="C51" s="27">
        <f>IF(B51&lt;&gt;"",IF(COUNT($A$33:A51)&lt;=$G$39,0,$G$41)+IF(COUNT($A$33:A51)&lt;=$G$40,0,$G$42),0)</f>
        <v>10852.7397260274</v>
      </c>
      <c r="D51" s="170">
        <f>IFERROR(DATE(YEAR(B51),MONTH(B51),1)," ")</f>
        <v>43405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43433</v>
      </c>
      <c r="C52" s="27">
        <f>IF(B52&lt;&gt;"",IF(COUNT($A$33:A52)&lt;=$G$39,0,$G$41)+IF(COUNT($A$33:A52)&lt;=$G$40,0,$G$42),0)</f>
        <v>10852.7397260274</v>
      </c>
      <c r="D52" s="170">
        <f>IFERROR(DATE(YEAR(B52),MONTH(B52),1)," ")</f>
        <v>43405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43447</v>
      </c>
      <c r="C53" s="27">
        <f>IF(B53&lt;&gt;"",IF(COUNT($A$33:A53)&lt;=$G$39,0,$G$41)+IF(COUNT($A$33:A53)&lt;=$G$40,0,$G$42),0)</f>
        <v>10852.7397260274</v>
      </c>
      <c r="D53" s="170">
        <f>IFERROR(DATE(YEAR(B53),MONTH(B53),1)," ")</f>
        <v>43435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43461</v>
      </c>
      <c r="C54" s="27">
        <f>IF(B54&lt;&gt;"",IF(COUNT($A$33:A54)&lt;=$G$39,0,$G$41)+IF(COUNT($A$33:A54)&lt;=$G$40,0,$G$42),0)</f>
        <v>10852.7397260274</v>
      </c>
      <c r="D54" s="170">
        <f>IFERROR(DATE(YEAR(B54),MONTH(B54),1)," ")</f>
        <v>43435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43475</v>
      </c>
      <c r="C55" s="27">
        <f>IF(B55&lt;&gt;"",IF(COUNT($A$33:A55)&lt;=$G$39,0,$G$41)+IF(COUNT($A$33:A55)&lt;=$G$40,0,$G$42),0)</f>
        <v>10852.7397260274</v>
      </c>
      <c r="D55" s="170">
        <f>IFERROR(DATE(YEAR(B55),MONTH(B55),1)," ")</f>
        <v>43466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43489</v>
      </c>
      <c r="C56" s="27">
        <f>IF(B56&lt;&gt;"",IF(COUNT($A$33:A56)&lt;=$G$39,0,$G$41)+IF(COUNT($A$33:A56)&lt;=$G$40,0,$G$42),0)</f>
        <v>10852.7397260274</v>
      </c>
      <c r="D56" s="170">
        <f>IFERROR(DATE(YEAR(B56),MONTH(B56),1)," ")</f>
        <v>43466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43503</v>
      </c>
      <c r="C57" s="27">
        <f>IF(B57&lt;&gt;"",IF(COUNT($A$33:A57)&lt;=$G$39,0,$G$41)+IF(COUNT($A$33:A57)&lt;=$G$40,0,$G$42),0)</f>
        <v>10852.7397260274</v>
      </c>
      <c r="D57" s="170">
        <f>IFERROR(DATE(YEAR(B57),MONTH(B57),1)," ")</f>
        <v>43497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43517</v>
      </c>
      <c r="C58" s="27">
        <f>IF(B58&lt;&gt;"",IF(COUNT($A$33:A58)&lt;=$G$39,0,$G$41)+IF(COUNT($A$33:A58)&lt;=$G$40,0,$G$42),0)</f>
        <v>10852.7397260274</v>
      </c>
      <c r="D58" s="170">
        <f>IFERROR(DATE(YEAR(B58),MONTH(B58),1)," ")</f>
        <v>43497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43531</v>
      </c>
      <c r="C59" s="27">
        <f>IF(B59&lt;&gt;"",IF(COUNT($A$33:A59)&lt;=$G$39,0,$G$41)+IF(COUNT($A$33:A59)&lt;=$G$40,0,$G$42),0)</f>
        <v>10852.7397260274</v>
      </c>
      <c r="D59" s="170">
        <f>IFERROR(DATE(YEAR(B59),MONTH(B59),1)," ")</f>
        <v>43525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43545</v>
      </c>
      <c r="C60" s="27">
        <f>IF(B60&lt;&gt;"",IF(COUNT($A$33:A60)&lt;=$G$39,0,$G$41)+IF(COUNT($A$33:A60)&lt;=$G$40,0,$G$42),0)</f>
        <v>10852.7397260274</v>
      </c>
      <c r="D60" s="170">
        <f>IFERROR(DATE(YEAR(B60),MONTH(B60),1)," ")</f>
        <v>43525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43559</v>
      </c>
      <c r="C61" s="27">
        <f>IF(B61&lt;&gt;"",IF(COUNT($A$33:A61)&lt;=$G$39,0,$G$41)+IF(COUNT($A$33:A61)&lt;=$G$40,0,$G$42),0)</f>
        <v>10852.7397260274</v>
      </c>
      <c r="D61" s="170">
        <f>IFERROR(DATE(YEAR(B61),MONTH(B61),1)," ")</f>
        <v>43556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43573</v>
      </c>
      <c r="C62" s="27">
        <f>IF(B62&lt;&gt;"",IF(COUNT($A$33:A62)&lt;=$G$39,0,$G$41)+IF(COUNT($A$33:A62)&lt;=$G$40,0,$G$42),0)</f>
        <v>10852.7397260274</v>
      </c>
      <c r="D62" s="170">
        <f>IFERROR(DATE(YEAR(B62),MONTH(B62),1)," ")</f>
        <v>43556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43587</v>
      </c>
      <c r="C63" s="27">
        <f>IF(B63&lt;&gt;"",IF(COUNT($A$33:A63)&lt;=$G$39,0,$G$41)+IF(COUNT($A$33:A63)&lt;=$G$40,0,$G$42),0)</f>
        <v>10852.7397260274</v>
      </c>
      <c r="D63" s="170">
        <f>IFERROR(DATE(YEAR(B63),MONTH(B63),1)," ")</f>
        <v>43586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43601</v>
      </c>
      <c r="C64" s="27">
        <f>IF(B64&lt;&gt;"",IF(COUNT($A$33:A64)&lt;=$G$39,0,$G$41)+IF(COUNT($A$33:A64)&lt;=$G$40,0,$G$42),0)</f>
        <v>10852.7397260274</v>
      </c>
      <c r="D64" s="170">
        <f>IFERROR(DATE(YEAR(B64),MONTH(B64),1)," ")</f>
        <v>43586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43615</v>
      </c>
      <c r="C65" s="27">
        <f>IF(B65&lt;&gt;"",IF(COUNT($A$33:A65)&lt;=$G$39,0,$G$41)+IF(COUNT($A$33:A65)&lt;=$G$40,0,$G$42),0)</f>
        <v>10852.7397260274</v>
      </c>
      <c r="D65" s="170">
        <f>IFERROR(DATE(YEAR(B65),MONTH(B65),1)," ")</f>
        <v>43586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43629</v>
      </c>
      <c r="C66" s="27">
        <f>IF(B66&lt;&gt;"",IF(COUNT($A$33:A66)&lt;=$G$39,0,$G$41)+IF(COUNT($A$33:A66)&lt;=$G$40,0,$G$42),0)</f>
        <v>10852.7397260274</v>
      </c>
      <c r="D66" s="170">
        <f>IFERROR(DATE(YEAR(B66),MONTH(B66),1)," ")</f>
        <v>43617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43643</v>
      </c>
      <c r="C67" s="27">
        <f>IF(B67&lt;&gt;"",IF(COUNT($A$33:A67)&lt;=$G$39,0,$G$41)+IF(COUNT($A$33:A67)&lt;=$G$40,0,$G$42),0)</f>
        <v>10852.7397260274</v>
      </c>
      <c r="D67" s="170">
        <f>IFERROR(DATE(YEAR(B67),MONTH(B67),1)," ")</f>
        <v>43617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43657</v>
      </c>
      <c r="C68" s="27">
        <f>IF(B68&lt;&gt;"",IF(COUNT($A$33:A68)&lt;=$G$39,0,$G$41)+IF(COUNT($A$33:A68)&lt;=$G$40,0,$G$42),0)</f>
        <v>10852.7397260274</v>
      </c>
      <c r="D68" s="170">
        <f>IFERROR(DATE(YEAR(B68),MONTH(B68),1)," ")</f>
        <v>43647</v>
      </c>
    </row>
    <row r="69" spans="1:52">
      <c r="A69">
        <f>A68+1</f>
        <v>37</v>
      </c>
      <c r="B69" s="128">
        <f>IFERROR(IF(COUNT($A$33:A69)&lt;=$G$38,IF($G$37="Monthly",DATE(YEAR(B68),MONTH(B68)+1,MIN(DAY(B68),28)),B68+14),""),"")</f>
        <v>43671</v>
      </c>
      <c r="C69" s="27">
        <f>IF(B69&lt;&gt;"",IF(COUNT($A$33:A69)&lt;=$G$39,0,$G$41)+IF(COUNT($A$33:A69)&lt;=$G$40,0,$G$42),0)</f>
        <v>10852.7397260274</v>
      </c>
      <c r="D69" s="170">
        <f>IFERROR(DATE(YEAR(B69),MONTH(B69),1)," ")</f>
        <v>43647</v>
      </c>
    </row>
    <row r="70" spans="1:52">
      <c r="A70">
        <f>A69+1</f>
        <v>38</v>
      </c>
      <c r="B70" s="128">
        <f>IFERROR(IF(COUNT($A$33:A70)&lt;=$G$38,IF($G$37="Monthly",DATE(YEAR(B69),MONTH(B69)+1,MIN(DAY(B69),28)),B69+14),""),"")</f>
        <v>43685</v>
      </c>
      <c r="C70" s="27">
        <f>IF(B70&lt;&gt;"",IF(COUNT($A$33:A70)&lt;=$G$39,0,$G$41)+IF(COUNT($A$33:A70)&lt;=$G$40,0,$G$42),0)</f>
        <v>10852.7397260274</v>
      </c>
      <c r="D70" s="170">
        <f>IFERROR(DATE(YEAR(B70),MONTH(B70),1)," ")</f>
        <v>43678</v>
      </c>
    </row>
    <row r="71" spans="1:52">
      <c r="A71">
        <f>A70+1</f>
        <v>39</v>
      </c>
      <c r="B71" s="128">
        <f>IFERROR(IF(COUNT($A$33:A71)&lt;=$G$38,IF($G$37="Monthly",DATE(YEAR(B70),MONTH(B70)+1,MIN(DAY(B70),28)),B70+14),""),"")</f>
        <v>43699</v>
      </c>
      <c r="C71" s="27">
        <f>IF(B71&lt;&gt;"",IF(COUNT($A$33:A71)&lt;=$G$39,0,$G$41)+IF(COUNT($A$33:A71)&lt;=$G$40,0,$G$42),0)</f>
        <v>10852.7397260274</v>
      </c>
      <c r="D71" s="170">
        <f>IFERROR(DATE(YEAR(B71),MONTH(B71),1)," ")</f>
        <v>43678</v>
      </c>
    </row>
    <row r="72" spans="1:52">
      <c r="A72">
        <f>A71+1</f>
        <v>40</v>
      </c>
      <c r="B72" s="128">
        <f>IFERROR(IF(COUNT($A$33:A72)&lt;=$G$38,IF($G$37="Monthly",DATE(YEAR(B71),MONTH(B71)+1,MIN(DAY(B71),28)),B71+14),""),"")</f>
        <v>43713</v>
      </c>
      <c r="C72" s="27">
        <f>IF(B72&lt;&gt;"",IF(COUNT($A$33:A72)&lt;=$G$39,0,$G$41)+IF(COUNT($A$33:A72)&lt;=$G$40,0,$G$42),0)</f>
        <v>10852.7397260274</v>
      </c>
      <c r="D72" s="170">
        <f>IFERROR(DATE(YEAR(B72),MONTH(B72),1)," ")</f>
        <v>43709</v>
      </c>
    </row>
    <row r="73" spans="1:52">
      <c r="A73">
        <f>A72+1</f>
        <v>41</v>
      </c>
      <c r="B73" s="128">
        <f>IFERROR(IF(COUNT($A$33:A73)&lt;=$G$38,IF($G$37="Monthly",DATE(YEAR(B72),MONTH(B72)+1,MIN(DAY(B72),28)),B72+14),""),"")</f>
        <v>43727</v>
      </c>
      <c r="C73" s="27">
        <f>IF(B73&lt;&gt;"",IF(COUNT($A$33:A73)&lt;=$G$39,0,$G$41)+IF(COUNT($A$33:A73)&lt;=$G$40,0,$G$42),0)</f>
        <v>10852.7397260274</v>
      </c>
      <c r="D73" s="170">
        <f>IFERROR(DATE(YEAR(B73),MONTH(B73),1)," ")</f>
        <v>43709</v>
      </c>
    </row>
    <row r="74" spans="1:52">
      <c r="A74">
        <f>A73+1</f>
        <v>42</v>
      </c>
      <c r="B74" s="128">
        <f>IFERROR(IF(COUNT($A$33:A74)&lt;=$G$38,IF($G$37="Monthly",DATE(YEAR(B73),MONTH(B73)+1,MIN(DAY(B73),28)),B73+14),""),"")</f>
        <v>43741</v>
      </c>
      <c r="C74" s="27">
        <f>IF(B74&lt;&gt;"",IF(COUNT($A$33:A74)&lt;=$G$39,0,$G$41)+IF(COUNT($A$33:A74)&lt;=$G$40,0,$G$42),0)</f>
        <v>10852.7397260274</v>
      </c>
      <c r="D74" s="170">
        <f>IFERROR(DATE(YEAR(B74),MONTH(B74),1)," ")</f>
        <v>43739</v>
      </c>
    </row>
    <row r="75" spans="1:52">
      <c r="A75">
        <f>A74+1</f>
        <v>43</v>
      </c>
      <c r="B75" s="128">
        <f>IFERROR(IF(COUNT($A$33:A75)&lt;=$G$38,IF($G$37="Monthly",DATE(YEAR(B74),MONTH(B74)+1,MIN(DAY(B74),28)),B74+14),""),"")</f>
        <v>43755</v>
      </c>
      <c r="C75" s="27">
        <f>IF(B75&lt;&gt;"",IF(COUNT($A$33:A75)&lt;=$G$39,0,$G$41)+IF(COUNT($A$33:A75)&lt;=$G$40,0,$G$42),0)</f>
        <v>10852.7397260274</v>
      </c>
      <c r="D75" s="170">
        <f>IFERROR(DATE(YEAR(B75),MONTH(B75),1)," ")</f>
        <v>43739</v>
      </c>
    </row>
    <row r="76" spans="1:52">
      <c r="A76">
        <f>A75+1</f>
        <v>44</v>
      </c>
      <c r="B76" s="128">
        <f>IFERROR(IF(COUNT($A$33:A76)&lt;=$G$38,IF($G$37="Monthly",DATE(YEAR(B75),MONTH(B75)+1,MIN(DAY(B75),28)),B75+14),""),"")</f>
        <v>43769</v>
      </c>
      <c r="C76" s="27">
        <f>IF(B76&lt;&gt;"",IF(COUNT($A$33:A76)&lt;=$G$39,0,$G$41)+IF(COUNT($A$33:A76)&lt;=$G$40,0,$G$42),0)</f>
        <v>10852.7397260274</v>
      </c>
      <c r="D76" s="170">
        <f>IFERROR(DATE(YEAR(B76),MONTH(B76),1)," ")</f>
        <v>43739</v>
      </c>
    </row>
    <row r="77" spans="1:52">
      <c r="A77">
        <f>A76+1</f>
        <v>45</v>
      </c>
      <c r="B77" s="128">
        <f>IFERROR(IF(COUNT($A$33:A77)&lt;=$G$38,IF($G$37="Monthly",DATE(YEAR(B76),MONTH(B76)+1,MIN(DAY(B76),28)),B76+14),""),"")</f>
        <v>43783</v>
      </c>
      <c r="C77" s="27">
        <f>IF(B77&lt;&gt;"",IF(COUNT($A$33:A77)&lt;=$G$39,0,$G$41)+IF(COUNT($A$33:A77)&lt;=$G$40,0,$G$42),0)</f>
        <v>10852.7397260274</v>
      </c>
      <c r="D77" s="170">
        <f>IFERROR(DATE(YEAR(B77),MONTH(B77),1)," ")</f>
        <v>43770</v>
      </c>
    </row>
    <row r="78" spans="1:52">
      <c r="A78">
        <f>A77+1</f>
        <v>46</v>
      </c>
      <c r="B78" s="128">
        <f>IFERROR(IF(COUNT($A$33:A78)&lt;=$G$38,IF($G$37="Monthly",DATE(YEAR(B77),MONTH(B77)+1,MIN(DAY(B77),28)),B77+14),""),"")</f>
        <v>43797</v>
      </c>
      <c r="C78" s="27">
        <f>IF(B78&lt;&gt;"",IF(COUNT($A$33:A78)&lt;=$G$39,0,$G$41)+IF(COUNT($A$33:A78)&lt;=$G$40,0,$G$42),0)</f>
        <v>10852.7397260274</v>
      </c>
      <c r="D78" s="170">
        <f>IFERROR(DATE(YEAR(B78),MONTH(B78),1)," ")</f>
        <v>43770</v>
      </c>
    </row>
    <row r="79" spans="1:52">
      <c r="A79">
        <f>A78+1</f>
        <v>47</v>
      </c>
      <c r="B79" s="128">
        <f>IFERROR(IF(COUNT($A$33:A79)&lt;=$G$38,IF($G$37="Monthly",DATE(YEAR(B78),MONTH(B78)+1,MIN(DAY(B78),28)),B78+14),""),"")</f>
        <v>43811</v>
      </c>
      <c r="C79" s="27">
        <f>IF(B79&lt;&gt;"",IF(COUNT($A$33:A79)&lt;=$G$39,0,$G$41)+IF(COUNT($A$33:A79)&lt;=$G$40,0,$G$42),0)</f>
        <v>10852.7397260274</v>
      </c>
      <c r="D79" s="170">
        <f>IFERROR(DATE(YEAR(B79),MONTH(B79),1)," ")</f>
        <v>43800</v>
      </c>
    </row>
    <row r="80" spans="1:52">
      <c r="A80">
        <f>A79+1</f>
        <v>48</v>
      </c>
      <c r="B80" s="128">
        <f>IFERROR(IF(COUNT($A$33:A80)&lt;=$G$38,IF($G$37="Monthly",DATE(YEAR(B79),MONTH(B79)+1,MIN(DAY(B79),28)),B79+14),""),"")</f>
        <v>43825</v>
      </c>
      <c r="C80" s="27">
        <f>IF(B80&lt;&gt;"",IF(COUNT($A$33:A80)&lt;=$G$39,0,$G$41)+IF(COUNT($A$33:A80)&lt;=$G$40,0,$G$42),0)</f>
        <v>10852.7397260274</v>
      </c>
      <c r="D80" s="170">
        <f>IFERROR(DATE(YEAR(B80),MONTH(B80),1)," ")</f>
        <v>43800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96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113</v>
      </c>
      <c r="B24" s="21" t="s">
        <v>290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290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290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290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99</v>
      </c>
      <c r="B41" s="191" t="s">
        <v>306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113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308</v>
      </c>
      <c r="H52" s="12" t="s">
        <v>309</v>
      </c>
      <c r="I52" s="12" t="s">
        <v>130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224</v>
      </c>
      <c r="E53" s="10" t="s">
        <v>183</v>
      </c>
      <c r="F53" s="10" t="s">
        <v>243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338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306</v>
      </c>
      <c r="F77" s="12" t="s">
        <v>306</v>
      </c>
      <c r="G77" s="12" t="s">
        <v>345</v>
      </c>
      <c r="H77" s="12" t="s">
        <v>309</v>
      </c>
      <c r="I77" s="12" t="s">
        <v>346</v>
      </c>
      <c r="J77" s="136" t="s">
        <v>347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95</v>
      </c>
      <c r="D78" s="133"/>
      <c r="E78" s="12" t="s">
        <v>348</v>
      </c>
      <c r="F78" s="12" t="s">
        <v>349</v>
      </c>
      <c r="G78" s="12" t="s">
        <v>112</v>
      </c>
      <c r="H78" s="12" t="s">
        <v>130</v>
      </c>
      <c r="I78" s="12" t="s">
        <v>161</v>
      </c>
      <c r="J78" s="70" t="s">
        <v>97</v>
      </c>
      <c r="K78" s="12" t="s">
        <v>306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338</v>
      </c>
      <c r="J79" s="70" t="s">
        <v>354</v>
      </c>
      <c r="K79" s="12" t="s">
        <v>306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