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<sst xmlns="http://schemas.openxmlformats.org/spreadsheetml/2006/main" uniqueCount="368">
  <si>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</si>
  <si>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</si>
  <si>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</si>
  <si>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</si>
  <si>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</si>
  <si>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</si>
  <si>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</si>
  <si>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</si>
  <si>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</si>
  <si>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</si>
  <si>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</si>
  <si>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</si>
  <si>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</si>
  <si>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</si>
  <si>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</si>
  <si>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</si>
  <si>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</si>
  <si>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</si>
  <si>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</si>
  <si>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</si>
  <si>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</si>
  <si>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</si>
  <si>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</si>
  <si>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</si>
  <si>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</si>
  <si>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</si>
  <si>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</si>
  <si>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</si>
  <si>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</si>
  <si>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</si>
  <si>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</si>
  <si>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</si>
  <si>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</si>
  <si>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</si>
  <si>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</si>
  <si>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</si>
  <si>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</si>
  <si>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</si>
  <si>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</si>
  <si>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</si>
  <si>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</si>
  <si>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</si>
  <si>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</si>
  <si>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</si>
  <si>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</si>
  <si>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</si>
  <si>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</si>
  <si>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</si>
  <si>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</si>
  <si>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</si>
  <si>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</si>
  <si>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</si>
  <si>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</si>
  <si>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</si>
  <si>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</si>
  <si>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</si>
  <si>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</si>
  <si>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</si>
  <si>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</si>
  <si>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</si>
  <si>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</si>
  <si>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</si>
  <si>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</si>
  <si>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</si>
  <si>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</si>
  <si>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</si>
  <si>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</si>
  <si>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</si>
  <si>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</si>
  <si>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</si>
  <si>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</si>
  <si>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</si>
  <si>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</si>
  <si>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</si>
  <si>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</si>
  <si>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</si>
  <si>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</si>
  <si>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</si>
  <si>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</si>
  <si>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</si>
  <si>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</si>
  <si>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</si>
  <si>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</si>
  <si>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</si>
  <si>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</si>
  <si>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</si>
  <si>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</si>
  <si>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</si>
  <si>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</si>
  <si>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</si>
  <si>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</si>
  <si>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Inorganic fertizers</t>
  </si>
  <si>
    <t>No</t>
  </si>
  <si>
    <t>Yes using a diesel pump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</si>
  <si>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</si>
  <si>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</si>
  <si>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</si>
  <si>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</si>
  <si>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</si>
  <si>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</si>
  <si>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</si>
  <si>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</si>
  <si>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</si>
  <si>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</si>
  <si>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</si>
  <si>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</si>
  <si>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</si>
  <si>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</si>
  <si>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</si>
  <si>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</si>
  <si>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</si>
  <si>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</si>
  <si>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</si>
  <si>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</si>
  <si>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</si>
  <si>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</si>
  <si>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</si>
  <si>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</si>
  <si>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</si>
  <si>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</si>
  <si>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</si>
  <si>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</si>
  <si>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</si>
  <si>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</si>
  <si>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</si>
  <si>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</si>
  <si>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</si>
  <si>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</si>
  <si>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</si>
  <si>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</si>
  <si>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</si>
  <si>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</si>
  <si>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</si>
  <si>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</si>
  <si>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</si>
  <si>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</si>
  <si>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</si>
  <si>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</si>
  <si>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</si>
  <si>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</si>
  <si>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</si>
  <si>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</si>
  <si>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</si>
  <si>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</si>
  <si>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2/8/2018</t>
  </si>
  <si>
    <t xml:space="preserve">grocery </t>
  </si>
  <si>
    <t>Mpesa &amp; bank cash flows (from past statements)</t>
  </si>
  <si>
    <t>Cash inflows</t>
  </si>
  <si>
    <t>Cash outflows</t>
  </si>
  <si>
    <t>November</t>
  </si>
  <si>
    <t>December</t>
  </si>
  <si>
    <t>February</t>
  </si>
  <si>
    <t>March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</si>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</sst>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mpesa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2.427916515864398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0.3013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-67110</v>
      </c>
    </row>
    <row r="18" spans="1:7">
      <c r="B18" s="1" t="s">
        <v>12</v>
      </c>
      <c r="C18" s="36">
        <f>MIN(Output!B6:M6)</f>
        <v>-5592.5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-5592.5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1300</v>
      </c>
    </row>
    <row r="25" spans="1:7">
      <c r="B25" s="1" t="s">
        <v>18</v>
      </c>
      <c r="C25" s="36">
        <f>MAX(Inputs!A56:A60)</f>
        <v>1300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-5592.5</v>
      </c>
      <c r="C6" s="51">
        <f>C30-C88</f>
        <v>-5592.5</v>
      </c>
      <c r="D6" s="51">
        <f>D30-D88</f>
        <v>-5592.5</v>
      </c>
      <c r="E6" s="51">
        <f>E30-E88</f>
        <v>-5592.5</v>
      </c>
      <c r="F6" s="51">
        <f>F30-F88</f>
        <v>-5592.5</v>
      </c>
      <c r="G6" s="51">
        <f>G30-G88</f>
        <v>-5592.5</v>
      </c>
      <c r="H6" s="51">
        <f>H30-H88</f>
        <v>-5592.5</v>
      </c>
      <c r="I6" s="51">
        <f>I30-I88</f>
        <v>-5592.5</v>
      </c>
      <c r="J6" s="51">
        <f>J30-J88</f>
        <v>-5592.5</v>
      </c>
      <c r="K6" s="51">
        <f>K30-K88</f>
        <v>-5592.5</v>
      </c>
      <c r="L6" s="51">
        <f>L30-L88</f>
        <v>-5592.5</v>
      </c>
      <c r="M6" s="51">
        <f>M30-M88</f>
        <v>-5592.5</v>
      </c>
      <c r="N6" s="51">
        <f>N30-N88</f>
        <v>-5592.5</v>
      </c>
      <c r="O6" s="51">
        <f>O30-O88</f>
        <v>-5592.5</v>
      </c>
      <c r="P6" s="51">
        <f>P30-P88</f>
        <v>-5592.5</v>
      </c>
      <c r="Q6" s="51">
        <f>Q30-Q88</f>
        <v>-5592.5</v>
      </c>
      <c r="R6" s="51">
        <f>R30-R88</f>
        <v>-5592.5</v>
      </c>
      <c r="S6" s="51">
        <f>S30-S88</f>
        <v>-5592.5</v>
      </c>
      <c r="T6" s="51">
        <f>T30-T88</f>
        <v>-5592.5</v>
      </c>
      <c r="U6" s="51">
        <f>U30-U88</f>
        <v>-5592.5</v>
      </c>
      <c r="V6" s="51">
        <f>V30-V88</f>
        <v>-5592.5</v>
      </c>
      <c r="W6" s="51">
        <f>W30-W88</f>
        <v>-5592.5</v>
      </c>
      <c r="X6" s="51">
        <f>X30-X88</f>
        <v>-5592.5</v>
      </c>
      <c r="Y6" s="51">
        <f>Y30-Y88</f>
        <v>-5592.5</v>
      </c>
      <c r="Z6" s="51">
        <f>SUMIF($B$13:$Y$13,"Yes",B6:Y6)</f>
        <v>-134220</v>
      </c>
      <c r="AA6" s="51">
        <f>AA30-AA88</f>
        <v>-67110</v>
      </c>
      <c r="AB6" s="51">
        <f>AB30-AB88</f>
        <v>-134220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6060</v>
      </c>
      <c r="C7" s="80">
        <f>IF(ISERROR(VLOOKUP(MONTH(C5),Inputs!$D$66:$D$71,1,0)),"",INDEX(Inputs!$B$66:$B$71,MATCH(MONTH(Output!C5),Inputs!$D$66:$D$71,0))-INDEX(Inputs!$C$66:$C$71,MATCH(MONTH(Output!C5),Inputs!$D$66:$D$71,0)))</f>
        <v>6060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-27600</v>
      </c>
      <c r="K7" s="80">
        <f>IF(ISERROR(VLOOKUP(MONTH(K5),Inputs!$D$66:$D$71,1,0)),"",INDEX(Inputs!$B$66:$B$71,MATCH(MONTH(Output!K5),Inputs!$D$66:$D$71,0))-INDEX(Inputs!$C$66:$C$71,MATCH(MONTH(Output!K5),Inputs!$D$66:$D$71,0)))</f>
        <v>-7200</v>
      </c>
      <c r="L7" s="80">
        <f>IF(ISERROR(VLOOKUP(MONTH(L5),Inputs!$D$66:$D$71,1,0)),"",INDEX(Inputs!$B$66:$B$71,MATCH(MONTH(Output!L5),Inputs!$D$66:$D$71,0))-INDEX(Inputs!$C$66:$C$71,MATCH(MONTH(Output!L5),Inputs!$D$66:$D$71,0)))</f>
        <v>-7200</v>
      </c>
      <c r="M7" s="80">
        <f>IF(ISERROR(VLOOKUP(MONTH(M5),Inputs!$D$66:$D$71,1,0)),"",INDEX(Inputs!$B$66:$B$71,MATCH(MONTH(Output!M5),Inputs!$D$66:$D$71,0))-INDEX(Inputs!$C$66:$C$71,MATCH(MONTH(Output!M5),Inputs!$D$66:$D$71,0)))</f>
        <v>6060</v>
      </c>
      <c r="N7" s="80">
        <f>IF(ISERROR(VLOOKUP(MONTH(N5),Inputs!$D$66:$D$71,1,0)),"",INDEX(Inputs!$B$66:$B$71,MATCH(MONTH(Output!N5),Inputs!$D$66:$D$71,0))-INDEX(Inputs!$C$66:$C$71,MATCH(MONTH(Output!N5),Inputs!$D$66:$D$71,0)))</f>
        <v>6060</v>
      </c>
      <c r="O7" s="80">
        <f>IF(ISERROR(VLOOKUP(MONTH(O5),Inputs!$D$66:$D$71,1,0)),"",INDEX(Inputs!$B$66:$B$71,MATCH(MONTH(Output!O5),Inputs!$D$66:$D$71,0))-INDEX(Inputs!$C$66:$C$71,MATCH(MONTH(Output!O5),Inputs!$D$66:$D$71,0)))</f>
        <v>6060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-27600</v>
      </c>
      <c r="W7" s="80">
        <f>IF(ISERROR(VLOOKUP(MONTH(W5),Inputs!$D$66:$D$71,1,0)),"",INDEX(Inputs!$B$66:$B$71,MATCH(MONTH(Output!W5),Inputs!$D$66:$D$71,0))-INDEX(Inputs!$C$66:$C$71,MATCH(MONTH(Output!W5),Inputs!$D$66:$D$71,0)))</f>
        <v>-7200</v>
      </c>
      <c r="X7" s="80">
        <f>IF(ISERROR(VLOOKUP(MONTH(X5),Inputs!$D$66:$D$71,1,0)),"",INDEX(Inputs!$B$66:$B$71,MATCH(MONTH(Output!X5),Inputs!$D$66:$D$71,0))-INDEX(Inputs!$C$66:$C$71,MATCH(MONTH(Output!X5),Inputs!$D$66:$D$71,0)))</f>
        <v>-7200</v>
      </c>
      <c r="Y7" s="80">
        <f>IF(ISERROR(VLOOKUP(MONTH(Y5),Inputs!$D$66:$D$71,1,0)),"",INDEX(Inputs!$B$66:$B$71,MATCH(MONTH(Output!Y5),Inputs!$D$66:$D$71,0))-INDEX(Inputs!$C$66:$C$71,MATCH(MONTH(Output!Y5),Inputs!$D$66:$D$71,0)))</f>
        <v>6060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294407.5</v>
      </c>
      <c r="C11" s="80">
        <f>C6+C9-C10</f>
        <v>-23092.5</v>
      </c>
      <c r="D11" s="80">
        <f>D6+D9-D10</f>
        <v>-23092.5</v>
      </c>
      <c r="E11" s="80">
        <f>E6+E9-E10</f>
        <v>-23092.5</v>
      </c>
      <c r="F11" s="80">
        <f>F6+F9-F10</f>
        <v>-23092.5</v>
      </c>
      <c r="G11" s="80">
        <f>G6+G9-G10</f>
        <v>-23092.5</v>
      </c>
      <c r="H11" s="80">
        <f>H6+H9-H10</f>
        <v>-23092.5</v>
      </c>
      <c r="I11" s="80">
        <f>I6+I9-I10</f>
        <v>-23092.5</v>
      </c>
      <c r="J11" s="80">
        <f>J6+J9-J10</f>
        <v>-23092.5</v>
      </c>
      <c r="K11" s="80">
        <f>K6+K9-K10</f>
        <v>-23092.5</v>
      </c>
      <c r="L11" s="80">
        <f>L6+L9-L10</f>
        <v>-23092.5</v>
      </c>
      <c r="M11" s="80">
        <f>M6+M9-M10</f>
        <v>-23092.5</v>
      </c>
      <c r="N11" s="80">
        <f>N6+N9-N10</f>
        <v>-23092.5</v>
      </c>
      <c r="O11" s="80">
        <f>O6+O9-O10</f>
        <v>-23092.5</v>
      </c>
      <c r="P11" s="80">
        <f>P6+P9-P10</f>
        <v>-23092.5</v>
      </c>
      <c r="Q11" s="80">
        <f>Q6+Q9-Q10</f>
        <v>-23092.5</v>
      </c>
      <c r="R11" s="80">
        <f>R6+R9-R10</f>
        <v>-23092.5</v>
      </c>
      <c r="S11" s="80">
        <f>S6+S9-S10</f>
        <v>-23092.5</v>
      </c>
      <c r="T11" s="80">
        <f>T6+T9-T10</f>
        <v>-23092.5</v>
      </c>
      <c r="U11" s="80">
        <f>U6+U9-U10</f>
        <v>-23092.5</v>
      </c>
      <c r="V11" s="80">
        <f>V6+V9-V10</f>
        <v>-23092.5</v>
      </c>
      <c r="W11" s="80">
        <f>W6+W9-W10</f>
        <v>-23092.5</v>
      </c>
      <c r="X11" s="80">
        <f>X6+X9-X10</f>
        <v>-23092.5</v>
      </c>
      <c r="Y11" s="80">
        <f>Y6+Y9-Y10</f>
        <v>-23092.5</v>
      </c>
      <c r="Z11" s="85">
        <f>SUMIF($B$13:$Y$13,"Yes",B11:Y11)</f>
        <v>-236720</v>
      </c>
      <c r="AA11" s="80">
        <f>SUM(B11:M11)</f>
        <v>40390</v>
      </c>
      <c r="AB11" s="46">
        <f>SUM(B11:Y11)</f>
        <v>-236720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0.06059242075376971</v>
      </c>
      <c r="D12" s="82">
        <f>IF(D13="Yes",IF(SUM($B$10:D10)/(SUM($B$6:D6)+SUM($B$9:D9))&lt;0,999.99,SUM($B$10:D10)/(SUM($B$6:D6)+SUM($B$9:D9))),"")</f>
        <v>0.1235777524737618</v>
      </c>
      <c r="E12" s="82">
        <f>IF(E13="Yes",IF(SUM($B$10:E10)/(SUM($B$6:E6)+SUM($B$9:E9))&lt;0,999.99,SUM($B$10:E10)/(SUM($B$6:E6)+SUM($B$9:E9))),"")</f>
        <v>0.1891006015200087</v>
      </c>
      <c r="F12" s="82">
        <f>IF(F13="Yes",IF(SUM($B$10:F10)/(SUM($B$6:F6)+SUM($B$9:F9))&lt;0,999.99,SUM($B$10:F10)/(SUM($B$6:F6)+SUM($B$9:F9))),"")</f>
        <v>0.2573174654229656</v>
      </c>
      <c r="G12" s="82">
        <f>IF(G13="Yes",IF(SUM($B$10:G10)/(SUM($B$6:G6)+SUM($B$9:G9))&lt;0,999.99,SUM($B$10:G10)/(SUM($B$6:G6)+SUM($B$9:G9))),"")</f>
        <v>0.3283979808215579</v>
      </c>
      <c r="H12" s="82">
        <f>IF(H13="Yes",IF(SUM($B$10:H10)/(SUM($B$6:H6)+SUM($B$9:H9))&lt;0,999.99,SUM($B$10:H10)/(SUM($B$6:H6)+SUM($B$9:H9))),"")</f>
        <v>0.4025263319308805</v>
      </c>
      <c r="I12" s="82">
        <f>IF(I13="Yes",IF(SUM($B$10:I10)/(SUM($B$6:I6)+SUM($B$9:I9))&lt;0,999.99,SUM($B$10:I10)/(SUM($B$6:I6)+SUM($B$9:I9))),"")</f>
        <v>0.4799028441588968</v>
      </c>
      <c r="J12" s="82">
        <f>IF(J13="Yes",IF(SUM($B$10:J10)/(SUM($B$6:J6)+SUM($B$9:J9))&lt;0,999.99,SUM($B$10:J10)/(SUM($B$6:J6)+SUM($B$9:J9))),"")</f>
        <v>0.5607457919032313</v>
      </c>
      <c r="K12" s="82">
        <f>IF(K13="Yes",IF(SUM($B$10:K10)/(SUM($B$6:K6)+SUM($B$9:K9))&lt;0,999.99,SUM($B$10:K10)/(SUM($B$6:K6)+SUM($B$9:K9))),"")</f>
        <v>0.6452934548806719</v>
      </c>
      <c r="L12" s="82">
        <f>IF(L13="Yes",IF(SUM($B$10:L10)/(SUM($B$6:L6)+SUM($B$9:L9))&lt;0,999.99,SUM($B$10:L10)/(SUM($B$6:L6)+SUM($B$9:L9))),"")</f>
        <v>0.733806463786651</v>
      </c>
      <c r="M12" s="82">
        <f>IF(M13="Yes",IF(SUM($B$10:M10)/(SUM($B$6:M6)+SUM($B$9:M9))&lt;0,999.99,SUM($B$10:M10)/(SUM($B$6:M6)+SUM($B$9:M9))),"")</f>
        <v>0.826570483919447</v>
      </c>
      <c r="N12" s="82">
        <f>IF(N13="Yes",IF(SUM($B$10:N10)/(SUM($B$6:N6)+SUM($B$9:N9))&lt;0,999.99,SUM($B$10:N10)/(SUM($B$6:N6)+SUM($B$9:N9))),"")</f>
        <v>0.9238992949768475</v>
      </c>
      <c r="O12" s="82">
        <f>IF(O13="Yes",IF(SUM($B$10:O10)/(SUM($B$6:O6)+SUM($B$9:O9))&lt;0,999.99,SUM($B$10:O10)/(SUM($B$6:O6)+SUM($B$9:O9))),"")</f>
        <v>1.026138336979319</v>
      </c>
      <c r="P12" s="82">
        <f>IF(P13="Yes",IF(SUM($B$10:P10)/(SUM($B$6:P6)+SUM($B$9:P9))&lt;0,999.99,SUM($B$10:P10)/(SUM($B$6:P6)+SUM($B$9:P9))),"")</f>
        <v>1.133668806755741</v>
      </c>
      <c r="Q12" s="82">
        <f>IF(Q13="Yes",IF(SUM($B$10:Q10)/(SUM($B$6:Q6)+SUM($B$9:Q9))&lt;0,999.99,SUM($B$10:Q10)/(SUM($B$6:Q6)+SUM($B$9:Q9))),"")</f>
        <v>1.246912407372221</v>
      </c>
      <c r="R12" s="82">
        <f>IF(R13="Yes",IF(SUM($B$10:R10)/(SUM($B$6:R6)+SUM($B$9:R9))&lt;0,999.99,SUM($B$10:R10)/(SUM($B$6:R6)+SUM($B$9:R9))),"")</f>
        <v>1.366336875236364</v>
      </c>
      <c r="S12" s="82">
        <f>IF(S13="Yes",IF(SUM($B$10:S10)/(SUM($B$6:S6)+SUM($B$9:S9))&lt;0,999.99,SUM($B$10:S10)/(SUM($B$6:S6)+SUM($B$9:S9))),"")</f>
        <v>1.492462437605037</v>
      </c>
      <c r="T12" s="82">
        <f>IF(T13="Yes",IF(SUM($B$10:T10)/(SUM($B$6:T6)+SUM($B$9:T9))&lt;0,999.99,SUM($B$10:T10)/(SUM($B$6:T6)+SUM($B$9:T9))),"")</f>
        <v>1.625869388492458</v>
      </c>
      <c r="U12" s="82">
        <f>IF(U13="Yes",IF(SUM($B$10:U10)/(SUM($B$6:U6)+SUM($B$9:U9))&lt;0,999.99,SUM($B$10:U10)/(SUM($B$6:U6)+SUM($B$9:U9))),"")</f>
        <v>1.76720701567898</v>
      </c>
      <c r="V12" s="82">
        <f>IF(V13="Yes",IF(SUM($B$10:V10)/(SUM($B$6:V6)+SUM($B$9:V9))&lt;0,999.99,SUM($B$10:V10)/(SUM($B$6:V6)+SUM($B$9:V9))),"")</f>
        <v>1.917204168549635</v>
      </c>
      <c r="W12" s="82">
        <f>IF(W13="Yes",IF(SUM($B$10:W10)/(SUM($B$6:W6)+SUM($B$9:W9))&lt;0,999.99,SUM($B$10:W10)/(SUM($B$6:W6)+SUM($B$9:W9))),"")</f>
        <v>2.076681829740344</v>
      </c>
      <c r="X12" s="82">
        <f>IF(X13="Yes",IF(SUM($B$10:X10)/(SUM($B$6:X6)+SUM($B$9:X9))&lt;0,999.99,SUM($B$10:X10)/(SUM($B$6:X6)+SUM($B$9:X9))),"")</f>
        <v>2.24656814833185</v>
      </c>
      <c r="Y12" s="82">
        <f>IF(Y13="Yes",IF(SUM($B$10:Y10)/(SUM($B$6:Y6)+SUM($B$9:Y9))&lt;0,999.99,SUM($B$10:Y10)/(SUM($B$6:Y6)+SUM($B$9:Y9))),"")</f>
        <v>2.427916515864398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2400</v>
      </c>
      <c r="C29" s="37">
        <f>Inputs!$B$30</f>
        <v>2400</v>
      </c>
      <c r="D29" s="37">
        <f>Inputs!$B$30</f>
        <v>2400</v>
      </c>
      <c r="E29" s="37">
        <f>Inputs!$B$30</f>
        <v>2400</v>
      </c>
      <c r="F29" s="37">
        <f>Inputs!$B$30</f>
        <v>2400</v>
      </c>
      <c r="G29" s="37">
        <f>Inputs!$B$30</f>
        <v>2400</v>
      </c>
      <c r="H29" s="37">
        <f>Inputs!$B$30</f>
        <v>2400</v>
      </c>
      <c r="I29" s="37">
        <f>Inputs!$B$30</f>
        <v>2400</v>
      </c>
      <c r="J29" s="37">
        <f>Inputs!$B$30</f>
        <v>2400</v>
      </c>
      <c r="K29" s="37">
        <f>Inputs!$B$30</f>
        <v>2400</v>
      </c>
      <c r="L29" s="37">
        <f>Inputs!$B$30</f>
        <v>2400</v>
      </c>
      <c r="M29" s="37">
        <f>Inputs!$B$30</f>
        <v>2400</v>
      </c>
      <c r="N29" s="37">
        <f>Inputs!$B$30</f>
        <v>2400</v>
      </c>
      <c r="O29" s="37">
        <f>Inputs!$B$30</f>
        <v>2400</v>
      </c>
      <c r="P29" s="37">
        <f>Inputs!$B$30</f>
        <v>2400</v>
      </c>
      <c r="Q29" s="37">
        <f>Inputs!$B$30</f>
        <v>2400</v>
      </c>
      <c r="R29" s="37">
        <f>Inputs!$B$30</f>
        <v>2400</v>
      </c>
      <c r="S29" s="37">
        <f>Inputs!$B$30</f>
        <v>2400</v>
      </c>
      <c r="T29" s="37">
        <f>Inputs!$B$30</f>
        <v>2400</v>
      </c>
      <c r="U29" s="37">
        <f>Inputs!$B$30</f>
        <v>2400</v>
      </c>
      <c r="V29" s="37">
        <f>Inputs!$B$30</f>
        <v>2400</v>
      </c>
      <c r="W29" s="37">
        <f>Inputs!$B$30</f>
        <v>2400</v>
      </c>
      <c r="X29" s="37">
        <f>Inputs!$B$30</f>
        <v>2400</v>
      </c>
      <c r="Y29" s="37">
        <f>Inputs!$B$30</f>
        <v>2400</v>
      </c>
      <c r="Z29" s="37">
        <f>SUMIF($B$13:$Y$13,"Yes",B29:Y29)</f>
        <v>57600</v>
      </c>
      <c r="AA29" s="37">
        <f>SUM(B29:M29)</f>
        <v>28800</v>
      </c>
      <c r="AB29" s="37">
        <f>SUM(B29:Y29)</f>
        <v>57600</v>
      </c>
    </row>
    <row r="30" spans="1:30" customHeight="1" ht="15.75">
      <c r="A30" s="1" t="s">
        <v>37</v>
      </c>
      <c r="B30" s="19">
        <f>SUM(B18:B29)</f>
        <v>2400</v>
      </c>
      <c r="C30" s="19">
        <f>SUM(C18:C29)</f>
        <v>2400</v>
      </c>
      <c r="D30" s="19">
        <f>SUM(D18:D29)</f>
        <v>2400</v>
      </c>
      <c r="E30" s="19">
        <f>SUM(E18:E29)</f>
        <v>2400</v>
      </c>
      <c r="F30" s="19">
        <f>SUM(F18:F29)</f>
        <v>2400</v>
      </c>
      <c r="G30" s="19">
        <f>SUM(G18:G29)</f>
        <v>2400</v>
      </c>
      <c r="H30" s="19">
        <f>SUM(H18:H29)</f>
        <v>2400</v>
      </c>
      <c r="I30" s="19">
        <f>SUM(I18:I29)</f>
        <v>2400</v>
      </c>
      <c r="J30" s="19">
        <f>SUM(J18:J29)</f>
        <v>2400</v>
      </c>
      <c r="K30" s="19">
        <f>SUM(K18:K29)</f>
        <v>2400</v>
      </c>
      <c r="L30" s="19">
        <f>SUM(L18:L29)</f>
        <v>2400</v>
      </c>
      <c r="M30" s="19">
        <f>SUM(M18:M29)</f>
        <v>2400</v>
      </c>
      <c r="N30" s="19">
        <f>SUM(N18:N29)</f>
        <v>2400</v>
      </c>
      <c r="O30" s="19">
        <f>SUM(O18:O29)</f>
        <v>2400</v>
      </c>
      <c r="P30" s="19">
        <f>SUM(P18:P29)</f>
        <v>2400</v>
      </c>
      <c r="Q30" s="19">
        <f>SUM(Q18:Q29)</f>
        <v>2400</v>
      </c>
      <c r="R30" s="19">
        <f>SUM(R18:R29)</f>
        <v>2400</v>
      </c>
      <c r="S30" s="19">
        <f>SUM(S18:S29)</f>
        <v>2400</v>
      </c>
      <c r="T30" s="19">
        <f>SUM(T18:T29)</f>
        <v>2400</v>
      </c>
      <c r="U30" s="19">
        <f>SUM(U18:U29)</f>
        <v>2400</v>
      </c>
      <c r="V30" s="19">
        <f>SUM(V18:V29)</f>
        <v>2400</v>
      </c>
      <c r="W30" s="19">
        <f>SUM(W18:W29)</f>
        <v>2400</v>
      </c>
      <c r="X30" s="19">
        <f>SUM(X18:X29)</f>
        <v>2400</v>
      </c>
      <c r="Y30" s="19">
        <f>SUM(Y18:Y29)</f>
        <v>2400</v>
      </c>
      <c r="Z30" s="19">
        <f>SUMIF($B$13:$Y$13,"Yes",B30:Y30)</f>
        <v>57600</v>
      </c>
      <c r="AA30" s="19">
        <f>SUM(B30:M30)</f>
        <v>28800</v>
      </c>
      <c r="AB30" s="19">
        <f>SUM(B30:Y30)</f>
        <v>57600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7604.166666666667</v>
      </c>
      <c r="C74" s="46">
        <f>SUM(Calculations!$Q$14:$Q$16)/12</f>
        <v>7604.166666666667</v>
      </c>
      <c r="D74" s="46">
        <f>SUM(Calculations!$Q$14:$Q$16)/12</f>
        <v>7604.166666666667</v>
      </c>
      <c r="E74" s="46">
        <f>SUM(Calculations!$Q$14:$Q$16)/12</f>
        <v>7604.166666666667</v>
      </c>
      <c r="F74" s="46">
        <f>SUM(Calculations!$Q$14:$Q$16)/12</f>
        <v>7604.166666666667</v>
      </c>
      <c r="G74" s="46">
        <f>SUM(Calculations!$Q$14:$Q$16)/12</f>
        <v>7604.166666666667</v>
      </c>
      <c r="H74" s="46">
        <f>SUM(Calculations!$Q$14:$Q$16)/12</f>
        <v>7604.166666666667</v>
      </c>
      <c r="I74" s="46">
        <f>SUM(Calculations!$Q$14:$Q$16)/12</f>
        <v>7604.166666666667</v>
      </c>
      <c r="J74" s="46">
        <f>SUM(Calculations!$Q$14:$Q$16)/12</f>
        <v>7604.166666666667</v>
      </c>
      <c r="K74" s="46">
        <f>SUM(Calculations!$Q$14:$Q$16)/12</f>
        <v>7604.166666666667</v>
      </c>
      <c r="L74" s="46">
        <f>SUM(Calculations!$Q$14:$Q$16)/12</f>
        <v>7604.166666666667</v>
      </c>
      <c r="M74" s="46">
        <f>SUM(Calculations!$Q$14:$Q$16)/12</f>
        <v>7604.166666666667</v>
      </c>
      <c r="N74" s="46">
        <f>SUM(Calculations!$Q$14:$Q$16)/12</f>
        <v>7604.166666666667</v>
      </c>
      <c r="O74" s="46">
        <f>SUM(Calculations!$Q$14:$Q$16)/12</f>
        <v>7604.166666666667</v>
      </c>
      <c r="P74" s="46">
        <f>SUM(Calculations!$Q$14:$Q$16)/12</f>
        <v>7604.166666666667</v>
      </c>
      <c r="Q74" s="46">
        <f>SUM(Calculations!$Q$14:$Q$16)/12</f>
        <v>7604.166666666667</v>
      </c>
      <c r="R74" s="46">
        <f>SUM(Calculations!$Q$14:$Q$16)/12</f>
        <v>7604.166666666667</v>
      </c>
      <c r="S74" s="46">
        <f>SUM(Calculations!$Q$14:$Q$16)/12</f>
        <v>7604.166666666667</v>
      </c>
      <c r="T74" s="46">
        <f>SUM(Calculations!$Q$14:$Q$16)/12</f>
        <v>7604.166666666667</v>
      </c>
      <c r="U74" s="46">
        <f>SUM(Calculations!$Q$14:$Q$16)/12</f>
        <v>7604.166666666667</v>
      </c>
      <c r="V74" s="46">
        <f>SUM(Calculations!$Q$14:$Q$16)/12</f>
        <v>7604.166666666667</v>
      </c>
      <c r="W74" s="46">
        <f>SUM(Calculations!$Q$14:$Q$16)/12</f>
        <v>7604.166666666667</v>
      </c>
      <c r="X74" s="46">
        <f>SUM(Calculations!$Q$14:$Q$16)/12</f>
        <v>7604.166666666667</v>
      </c>
      <c r="Y74" s="46">
        <f>SUM(Calculations!$Q$14:$Q$16)/12</f>
        <v>7604.166666666667</v>
      </c>
      <c r="Z74" s="46">
        <f>SUMIF($B$13:$Y$13,"Yes",B74:Y74)</f>
        <v>182500</v>
      </c>
      <c r="AA74" s="46">
        <f>SUM(B74:M74)</f>
        <v>91250.00000000001</v>
      </c>
      <c r="AB74" s="46">
        <f>SUM(B74:Y74)</f>
        <v>182500</v>
      </c>
    </row>
    <row r="75" spans="1:30">
      <c r="A75" s="16" t="s">
        <v>47</v>
      </c>
      <c r="B75" s="46">
        <f>SUM(Calculations!$R$14:$R$16)/12</f>
        <v>416.6666666666667</v>
      </c>
      <c r="C75" s="46">
        <f>SUM(Calculations!$R$14:$R$16)/12</f>
        <v>416.6666666666667</v>
      </c>
      <c r="D75" s="46">
        <f>SUM(Calculations!$R$14:$R$16)/12</f>
        <v>416.6666666666667</v>
      </c>
      <c r="E75" s="46">
        <f>SUM(Calculations!$R$14:$R$16)/12</f>
        <v>416.6666666666667</v>
      </c>
      <c r="F75" s="46">
        <f>SUM(Calculations!$R$14:$R$16)/12</f>
        <v>416.6666666666667</v>
      </c>
      <c r="G75" s="46">
        <f>SUM(Calculations!$R$14:$R$16)/12</f>
        <v>416.6666666666667</v>
      </c>
      <c r="H75" s="46">
        <f>SUM(Calculations!$R$14:$R$16)/12</f>
        <v>416.6666666666667</v>
      </c>
      <c r="I75" s="46">
        <f>SUM(Calculations!$R$14:$R$16)/12</f>
        <v>416.6666666666667</v>
      </c>
      <c r="J75" s="46">
        <f>SUM(Calculations!$R$14:$R$16)/12</f>
        <v>416.6666666666667</v>
      </c>
      <c r="K75" s="46">
        <f>SUM(Calculations!$R$14:$R$16)/12</f>
        <v>416.6666666666667</v>
      </c>
      <c r="L75" s="46">
        <f>SUM(Calculations!$R$14:$R$16)/12</f>
        <v>416.6666666666667</v>
      </c>
      <c r="M75" s="46">
        <f>SUM(Calculations!$R$14:$R$16)/12</f>
        <v>416.6666666666667</v>
      </c>
      <c r="N75" s="46">
        <f>SUM(Calculations!$R$14:$R$16)/12</f>
        <v>416.6666666666667</v>
      </c>
      <c r="O75" s="46">
        <f>SUM(Calculations!$R$14:$R$16)/12</f>
        <v>416.6666666666667</v>
      </c>
      <c r="P75" s="46">
        <f>SUM(Calculations!$R$14:$R$16)/12</f>
        <v>416.6666666666667</v>
      </c>
      <c r="Q75" s="46">
        <f>SUM(Calculations!$R$14:$R$16)/12</f>
        <v>416.6666666666667</v>
      </c>
      <c r="R75" s="46">
        <f>SUM(Calculations!$R$14:$R$16)/12</f>
        <v>416.6666666666667</v>
      </c>
      <c r="S75" s="46">
        <f>SUM(Calculations!$R$14:$R$16)/12</f>
        <v>416.6666666666667</v>
      </c>
      <c r="T75" s="46">
        <f>SUM(Calculations!$R$14:$R$16)/12</f>
        <v>416.6666666666667</v>
      </c>
      <c r="U75" s="46">
        <f>SUM(Calculations!$R$14:$R$16)/12</f>
        <v>416.6666666666667</v>
      </c>
      <c r="V75" s="46">
        <f>SUM(Calculations!$R$14:$R$16)/12</f>
        <v>416.6666666666667</v>
      </c>
      <c r="W75" s="46">
        <f>SUM(Calculations!$R$14:$R$16)/12</f>
        <v>416.6666666666667</v>
      </c>
      <c r="X75" s="46">
        <f>SUM(Calculations!$R$14:$R$16)/12</f>
        <v>416.6666666666667</v>
      </c>
      <c r="Y75" s="46">
        <f>SUM(Calculations!$R$14:$R$16)/12</f>
        <v>416.6666666666667</v>
      </c>
      <c r="Z75" s="46">
        <f>SUMIF($B$13:$Y$13,"Yes",B75:Y75)</f>
        <v>10000</v>
      </c>
      <c r="AA75" s="46">
        <f>SUM(B75:M75)</f>
        <v>5000</v>
      </c>
      <c r="AB75" s="46">
        <f>SUM(B75:Y75)</f>
        <v>10000</v>
      </c>
    </row>
    <row r="76" spans="1:30">
      <c r="A76" s="16" t="s">
        <v>48</v>
      </c>
      <c r="B76" s="46">
        <f>SUM(Calculations!$S$14:$S$16)/12</f>
        <v>2500</v>
      </c>
      <c r="C76" s="46">
        <f>SUM(Calculations!$S$14:$S$16)/12</f>
        <v>2500</v>
      </c>
      <c r="D76" s="46">
        <f>SUM(Calculations!$S$14:$S$16)/12</f>
        <v>2500</v>
      </c>
      <c r="E76" s="46">
        <f>SUM(Calculations!$S$14:$S$16)/12</f>
        <v>2500</v>
      </c>
      <c r="F76" s="46">
        <f>SUM(Calculations!$S$14:$S$16)/12</f>
        <v>2500</v>
      </c>
      <c r="G76" s="46">
        <f>SUM(Calculations!$S$14:$S$16)/12</f>
        <v>2500</v>
      </c>
      <c r="H76" s="46">
        <f>SUM(Calculations!$S$14:$S$16)/12</f>
        <v>2500</v>
      </c>
      <c r="I76" s="46">
        <f>SUM(Calculations!$S$14:$S$16)/12</f>
        <v>2500</v>
      </c>
      <c r="J76" s="46">
        <f>SUM(Calculations!$S$14:$S$16)/12</f>
        <v>2500</v>
      </c>
      <c r="K76" s="46">
        <f>SUM(Calculations!$S$14:$S$16)/12</f>
        <v>2500</v>
      </c>
      <c r="L76" s="46">
        <f>SUM(Calculations!$S$14:$S$16)/12</f>
        <v>2500</v>
      </c>
      <c r="M76" s="46">
        <f>SUM(Calculations!$S$14:$S$16)/12</f>
        <v>2500</v>
      </c>
      <c r="N76" s="46">
        <f>SUM(Calculations!$S$14:$S$16)/12</f>
        <v>2500</v>
      </c>
      <c r="O76" s="46">
        <f>SUM(Calculations!$S$14:$S$16)/12</f>
        <v>2500</v>
      </c>
      <c r="P76" s="46">
        <f>SUM(Calculations!$S$14:$S$16)/12</f>
        <v>2500</v>
      </c>
      <c r="Q76" s="46">
        <f>SUM(Calculations!$S$14:$S$16)/12</f>
        <v>2500</v>
      </c>
      <c r="R76" s="46">
        <f>SUM(Calculations!$S$14:$S$16)/12</f>
        <v>2500</v>
      </c>
      <c r="S76" s="46">
        <f>SUM(Calculations!$S$14:$S$16)/12</f>
        <v>2500</v>
      </c>
      <c r="T76" s="46">
        <f>SUM(Calculations!$S$14:$S$16)/12</f>
        <v>2500</v>
      </c>
      <c r="U76" s="46">
        <f>SUM(Calculations!$S$14:$S$16)/12</f>
        <v>2500</v>
      </c>
      <c r="V76" s="46">
        <f>SUM(Calculations!$S$14:$S$16)/12</f>
        <v>2500</v>
      </c>
      <c r="W76" s="46">
        <f>SUM(Calculations!$S$14:$S$16)/12</f>
        <v>2500</v>
      </c>
      <c r="X76" s="46">
        <f>SUM(Calculations!$S$14:$S$16)/12</f>
        <v>2500</v>
      </c>
      <c r="Y76" s="46">
        <f>SUM(Calculations!$S$14:$S$16)/12</f>
        <v>2500</v>
      </c>
      <c r="Z76" s="46">
        <f>SUMIF($B$13:$Y$13,"Yes",B76:Y76)</f>
        <v>60000</v>
      </c>
      <c r="AA76" s="46">
        <f>SUM(B76:M76)</f>
        <v>30000</v>
      </c>
      <c r="AB76" s="46">
        <f>SUM(B76:Y76)</f>
        <v>60000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1200</v>
      </c>
      <c r="C79" s="46">
        <f>Inputs!$B$31</f>
        <v>1200</v>
      </c>
      <c r="D79" s="46">
        <f>Inputs!$B$31</f>
        <v>1200</v>
      </c>
      <c r="E79" s="46">
        <f>Inputs!$B$31</f>
        <v>1200</v>
      </c>
      <c r="F79" s="46">
        <f>Inputs!$B$31</f>
        <v>1200</v>
      </c>
      <c r="G79" s="46">
        <f>Inputs!$B$31</f>
        <v>1200</v>
      </c>
      <c r="H79" s="46">
        <f>Inputs!$B$31</f>
        <v>1200</v>
      </c>
      <c r="I79" s="46">
        <f>Inputs!$B$31</f>
        <v>1200</v>
      </c>
      <c r="J79" s="46">
        <f>Inputs!$B$31</f>
        <v>1200</v>
      </c>
      <c r="K79" s="46">
        <f>Inputs!$B$31</f>
        <v>1200</v>
      </c>
      <c r="L79" s="46">
        <f>Inputs!$B$31</f>
        <v>1200</v>
      </c>
      <c r="M79" s="46">
        <f>Inputs!$B$31</f>
        <v>1200</v>
      </c>
      <c r="N79" s="46">
        <f>Inputs!$B$31</f>
        <v>1200</v>
      </c>
      <c r="O79" s="46">
        <f>Inputs!$B$31</f>
        <v>1200</v>
      </c>
      <c r="P79" s="46">
        <f>Inputs!$B$31</f>
        <v>1200</v>
      </c>
      <c r="Q79" s="46">
        <f>Inputs!$B$31</f>
        <v>1200</v>
      </c>
      <c r="R79" s="46">
        <f>Inputs!$B$31</f>
        <v>1200</v>
      </c>
      <c r="S79" s="46">
        <f>Inputs!$B$31</f>
        <v>1200</v>
      </c>
      <c r="T79" s="46">
        <f>Inputs!$B$31</f>
        <v>1200</v>
      </c>
      <c r="U79" s="46">
        <f>Inputs!$B$31</f>
        <v>1200</v>
      </c>
      <c r="V79" s="46">
        <f>Inputs!$B$31</f>
        <v>1200</v>
      </c>
      <c r="W79" s="46">
        <f>Inputs!$B$31</f>
        <v>1200</v>
      </c>
      <c r="X79" s="46">
        <f>Inputs!$B$31</f>
        <v>1200</v>
      </c>
      <c r="Y79" s="46">
        <f>Inputs!$B$31</f>
        <v>1200</v>
      </c>
      <c r="Z79" s="46">
        <f>SUMIF($B$13:$Y$13,"Yes",B79:Y79)</f>
        <v>28800</v>
      </c>
      <c r="AA79" s="46">
        <f>SUM(B79:M79)</f>
        <v>14400</v>
      </c>
      <c r="AB79" s="46">
        <f>SUM(B79:Y79)</f>
        <v>28800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-3728.333333333333</v>
      </c>
      <c r="C81" s="46">
        <f>(SUM($AA$18:$AA$29)-SUM($AA$36,$AA$42,$AA$48,$AA$54,$AA$60,$AA$66,$AA$72:$AA$79))*Parameters!$B$37/12</f>
        <v>-3728.333333333333</v>
      </c>
      <c r="D81" s="46">
        <f>(SUM($AA$18:$AA$29)-SUM($AA$36,$AA$42,$AA$48,$AA$54,$AA$60,$AA$66,$AA$72:$AA$79))*Parameters!$B$37/12</f>
        <v>-3728.333333333333</v>
      </c>
      <c r="E81" s="46">
        <f>(SUM($AA$18:$AA$29)-SUM($AA$36,$AA$42,$AA$48,$AA$54,$AA$60,$AA$66,$AA$72:$AA$79))*Parameters!$B$37/12</f>
        <v>-3728.333333333333</v>
      </c>
      <c r="F81" s="46">
        <f>(SUM($AA$18:$AA$29)-SUM($AA$36,$AA$42,$AA$48,$AA$54,$AA$60,$AA$66,$AA$72:$AA$79))*Parameters!$B$37/12</f>
        <v>-3728.333333333333</v>
      </c>
      <c r="G81" s="46">
        <f>(SUM($AA$18:$AA$29)-SUM($AA$36,$AA$42,$AA$48,$AA$54,$AA$60,$AA$66,$AA$72:$AA$79))*Parameters!$B$37/12</f>
        <v>-3728.333333333333</v>
      </c>
      <c r="H81" s="46">
        <f>(SUM($AA$18:$AA$29)-SUM($AA$36,$AA$42,$AA$48,$AA$54,$AA$60,$AA$66,$AA$72:$AA$79))*Parameters!$B$37/12</f>
        <v>-3728.333333333333</v>
      </c>
      <c r="I81" s="46">
        <f>(SUM($AA$18:$AA$29)-SUM($AA$36,$AA$42,$AA$48,$AA$54,$AA$60,$AA$66,$AA$72:$AA$79))*Parameters!$B$37/12</f>
        <v>-3728.333333333333</v>
      </c>
      <c r="J81" s="46">
        <f>(SUM($AA$18:$AA$29)-SUM($AA$36,$AA$42,$AA$48,$AA$54,$AA$60,$AA$66,$AA$72:$AA$79))*Parameters!$B$37/12</f>
        <v>-3728.333333333333</v>
      </c>
      <c r="K81" s="46">
        <f>(SUM($AA$18:$AA$29)-SUM($AA$36,$AA$42,$AA$48,$AA$54,$AA$60,$AA$66,$AA$72:$AA$79))*Parameters!$B$37/12</f>
        <v>-3728.333333333333</v>
      </c>
      <c r="L81" s="46">
        <f>(SUM($AA$18:$AA$29)-SUM($AA$36,$AA$42,$AA$48,$AA$54,$AA$60,$AA$66,$AA$72:$AA$79))*Parameters!$B$37/12</f>
        <v>-3728.333333333333</v>
      </c>
      <c r="M81" s="46">
        <f>(SUM($AA$18:$AA$29)-SUM($AA$36,$AA$42,$AA$48,$AA$54,$AA$60,$AA$66,$AA$72:$AA$79))*Parameters!$B$37/12</f>
        <v>-3728.333333333333</v>
      </c>
      <c r="N81" s="46">
        <f>(SUM($AA$18:$AA$29)-SUM($AA$36,$AA$42,$AA$48,$AA$54,$AA$60,$AA$66,$AA$72:$AA$79))*Parameters!$B$37/12</f>
        <v>-3728.333333333333</v>
      </c>
      <c r="O81" s="46">
        <f>(SUM($AA$18:$AA$29)-SUM($AA$36,$AA$42,$AA$48,$AA$54,$AA$60,$AA$66,$AA$72:$AA$79))*Parameters!$B$37/12</f>
        <v>-3728.333333333333</v>
      </c>
      <c r="P81" s="46">
        <f>(SUM($AA$18:$AA$29)-SUM($AA$36,$AA$42,$AA$48,$AA$54,$AA$60,$AA$66,$AA$72:$AA$79))*Parameters!$B$37/12</f>
        <v>-3728.333333333333</v>
      </c>
      <c r="Q81" s="46">
        <f>(SUM($AA$18:$AA$29)-SUM($AA$36,$AA$42,$AA$48,$AA$54,$AA$60,$AA$66,$AA$72:$AA$79))*Parameters!$B$37/12</f>
        <v>-3728.333333333333</v>
      </c>
      <c r="R81" s="46">
        <f>(SUM($AA$18:$AA$29)-SUM($AA$36,$AA$42,$AA$48,$AA$54,$AA$60,$AA$66,$AA$72:$AA$79))*Parameters!$B$37/12</f>
        <v>-3728.333333333333</v>
      </c>
      <c r="S81" s="46">
        <f>(SUM($AA$18:$AA$29)-SUM($AA$36,$AA$42,$AA$48,$AA$54,$AA$60,$AA$66,$AA$72:$AA$79))*Parameters!$B$37/12</f>
        <v>-3728.333333333333</v>
      </c>
      <c r="T81" s="46">
        <f>(SUM($AA$18:$AA$29)-SUM($AA$36,$AA$42,$AA$48,$AA$54,$AA$60,$AA$66,$AA$72:$AA$79))*Parameters!$B$37/12</f>
        <v>-3728.333333333333</v>
      </c>
      <c r="U81" s="46">
        <f>(SUM($AA$18:$AA$29)-SUM($AA$36,$AA$42,$AA$48,$AA$54,$AA$60,$AA$66,$AA$72:$AA$79))*Parameters!$B$37/12</f>
        <v>-3728.333333333333</v>
      </c>
      <c r="V81" s="46">
        <f>(SUM($AA$18:$AA$29)-SUM($AA$36,$AA$42,$AA$48,$AA$54,$AA$60,$AA$66,$AA$72:$AA$79))*Parameters!$B$37/12</f>
        <v>-3728.333333333333</v>
      </c>
      <c r="W81" s="46">
        <f>(SUM($AA$18:$AA$29)-SUM($AA$36,$AA$42,$AA$48,$AA$54,$AA$60,$AA$66,$AA$72:$AA$79))*Parameters!$B$37/12</f>
        <v>-3728.333333333333</v>
      </c>
      <c r="X81" s="46">
        <f>(SUM($AA$18:$AA$29)-SUM($AA$36,$AA$42,$AA$48,$AA$54,$AA$60,$AA$66,$AA$72:$AA$79))*Parameters!$B$37/12</f>
        <v>-3728.333333333333</v>
      </c>
      <c r="Y81" s="46">
        <f>(SUM($AA$18:$AA$29)-SUM($AA$36,$AA$42,$AA$48,$AA$54,$AA$60,$AA$66,$AA$72:$AA$79))*Parameters!$B$37/12</f>
        <v>-3728.333333333333</v>
      </c>
      <c r="Z81" s="46">
        <f>SUMIF($B$13:$Y$13,"Yes",B81:Y81)</f>
        <v>-89479.99999999999</v>
      </c>
      <c r="AA81" s="46">
        <f>SUM(B81:M81)</f>
        <v>-44740.00000000001</v>
      </c>
      <c r="AB81" s="46">
        <f>SUM(B81:Y81)</f>
        <v>-89479.99999999999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7992.5</v>
      </c>
      <c r="C88" s="19">
        <f>SUM(C72:C82,C66,C60,C54,C48,C42,C36)</f>
        <v>7992.5</v>
      </c>
      <c r="D88" s="19">
        <f>SUM(D72:D82,D66,D60,D54,D48,D42,D36)</f>
        <v>7992.5</v>
      </c>
      <c r="E88" s="19">
        <f>SUM(E72:E82,E66,E60,E54,E48,E42,E36)</f>
        <v>7992.5</v>
      </c>
      <c r="F88" s="19">
        <f>SUM(F72:F82,F66,F60,F54,F48,F42,F36)</f>
        <v>7992.5</v>
      </c>
      <c r="G88" s="19">
        <f>SUM(G72:G82,G66,G60,G54,G48,G42,G36)</f>
        <v>7992.5</v>
      </c>
      <c r="H88" s="19">
        <f>SUM(H72:H82,H66,H60,H54,H48,H42,H36)</f>
        <v>7992.5</v>
      </c>
      <c r="I88" s="19">
        <f>SUM(I72:I82,I66,I60,I54,I48,I42,I36)</f>
        <v>7992.5</v>
      </c>
      <c r="J88" s="19">
        <f>SUM(J72:J82,J66,J60,J54,J48,J42,J36)</f>
        <v>7992.5</v>
      </c>
      <c r="K88" s="19">
        <f>SUM(K72:K82,K66,K60,K54,K48,K42,K36)</f>
        <v>7992.5</v>
      </c>
      <c r="L88" s="19">
        <f>SUM(L72:L82,L66,L60,L54,L48,L42,L36)</f>
        <v>7992.5</v>
      </c>
      <c r="M88" s="19">
        <f>SUM(M72:M82,M66,M60,M54,M48,M42,M36)</f>
        <v>7992.5</v>
      </c>
      <c r="N88" s="19">
        <f>SUM(N72:N82,N66,N60,N54,N48,N42,N36)</f>
        <v>7992.5</v>
      </c>
      <c r="O88" s="19">
        <f>SUM(O72:O82,O66,O60,O54,O48,O42,O36)</f>
        <v>7992.5</v>
      </c>
      <c r="P88" s="19">
        <f>SUM(P72:P82,P66,P60,P54,P48,P42,P36)</f>
        <v>7992.5</v>
      </c>
      <c r="Q88" s="19">
        <f>SUM(Q72:Q82,Q66,Q60,Q54,Q48,Q42,Q36)</f>
        <v>7992.5</v>
      </c>
      <c r="R88" s="19">
        <f>SUM(R72:R82,R66,R60,R54,R48,R42,R36)</f>
        <v>7992.5</v>
      </c>
      <c r="S88" s="19">
        <f>SUM(S72:S82,S66,S60,S54,S48,S42,S36)</f>
        <v>7992.5</v>
      </c>
      <c r="T88" s="19">
        <f>SUM(T72:T82,T66,T60,T54,T48,T42,T36)</f>
        <v>7992.5</v>
      </c>
      <c r="U88" s="19">
        <f>SUM(U72:U82,U66,U60,U54,U48,U42,U36)</f>
        <v>7992.5</v>
      </c>
      <c r="V88" s="19">
        <f>SUM(V72:V82,V66,V60,V54,V48,V42,V36)</f>
        <v>7992.5</v>
      </c>
      <c r="W88" s="19">
        <f>SUM(W72:W82,W66,W60,W54,W48,W42,W36)</f>
        <v>7992.5</v>
      </c>
      <c r="X88" s="19">
        <f>SUM(X72:X82,X66,X60,X54,X48,X42,X36)</f>
        <v>7992.5</v>
      </c>
      <c r="Y88" s="19">
        <f>SUM(Y72:Y82,Y66,Y60,Y54,Y48,Y42,Y36)</f>
        <v>7992.5</v>
      </c>
      <c r="Z88" s="19">
        <f>SUMIF($B$13:$Y$13,"Yes",B88:Y88)</f>
        <v>191820</v>
      </c>
      <c r="AA88" s="19">
        <f>SUM(B88:M88)</f>
        <v>95910</v>
      </c>
      <c r="AB88" s="19">
        <f>SUM(B88:Y88)</f>
        <v>191820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1000000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1000000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1300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301300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0</v>
      </c>
      <c r="P7" s="41"/>
    </row>
    <row r="8" spans="1:48">
      <c r="A8" s="143" t="s">
        <v>89</v>
      </c>
      <c r="B8" s="16"/>
      <c r="C8" s="143">
        <v>2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0</v>
      </c>
      <c r="E19" s="20"/>
      <c r="F19" s="145" t="s">
        <v>109</v>
      </c>
      <c r="G19" s="20"/>
      <c r="H19" s="20"/>
      <c r="I19" s="145" t="s">
        <v>110</v>
      </c>
      <c r="J19" s="145">
        <v>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20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2400</v>
      </c>
    </row>
    <row r="31" spans="1:48">
      <c r="A31" s="5" t="s">
        <v>117</v>
      </c>
      <c r="B31" s="158">
        <v>1200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>
        <v>0</v>
      </c>
    </row>
    <row r="42" spans="1:48">
      <c r="A42" s="55" t="s">
        <v>126</v>
      </c>
      <c r="B42" s="139" t="s">
        <v>127</v>
      </c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/>
    </row>
    <row r="46" spans="1:48" customHeight="1" ht="30">
      <c r="A46" s="57" t="s">
        <v>132</v>
      </c>
      <c r="B46" s="161">
        <v>0</v>
      </c>
    </row>
    <row r="47" spans="1:48" customHeight="1" ht="30">
      <c r="A47" s="57" t="s">
        <v>133</v>
      </c>
      <c r="B47" s="161">
        <v>0</v>
      </c>
    </row>
    <row r="48" spans="1:48" customHeight="1" ht="30">
      <c r="A48" s="57" t="s">
        <v>134</v>
      </c>
      <c r="B48" s="161">
        <v>0</v>
      </c>
    </row>
    <row r="49" spans="1:48" customHeight="1" ht="30">
      <c r="A49" s="57" t="s">
        <v>135</v>
      </c>
      <c r="B49" s="161">
        <v>0</v>
      </c>
    </row>
    <row r="50" spans="1:48">
      <c r="A50" s="43"/>
      <c r="B50" s="36"/>
    </row>
    <row r="51" spans="1:48">
      <c r="A51" s="58" t="s">
        <v>136</v>
      </c>
      <c r="B51" s="161">
        <v>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1300</v>
      </c>
      <c r="B56" s="159">
        <v>1300</v>
      </c>
      <c r="C56" s="162" t="s">
        <v>144</v>
      </c>
      <c r="D56" s="163" t="s">
        <v>145</v>
      </c>
      <c r="E56" s="163" t="s">
        <v>109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94</v>
      </c>
      <c r="B66" s="159">
        <v>2400</v>
      </c>
      <c r="C66" s="163">
        <v>30000</v>
      </c>
      <c r="D66" s="49">
        <f>INDEX(Parameters!$D$79:$D$90,MATCH(Inputs!A66,Parameters!$C$79:$C$90,0))</f>
        <v>10</v>
      </c>
    </row>
    <row r="67" spans="1:48">
      <c r="A67" s="143" t="s">
        <v>149</v>
      </c>
      <c r="B67" s="157">
        <v>2400</v>
      </c>
      <c r="C67" s="165">
        <v>9600</v>
      </c>
      <c r="D67" s="49">
        <f>INDEX(Parameters!$D$79:$D$90,MATCH(Inputs!A67,Parameters!$C$79:$C$90,0))</f>
        <v>11</v>
      </c>
    </row>
    <row r="68" spans="1:48">
      <c r="A68" s="143" t="s">
        <v>150</v>
      </c>
      <c r="B68" s="157">
        <v>2400</v>
      </c>
      <c r="C68" s="165">
        <v>9600</v>
      </c>
      <c r="D68" s="49">
        <f>INDEX(Parameters!$D$79:$D$90,MATCH(Inputs!A68,Parameters!$C$79:$C$90,0))</f>
        <v>12</v>
      </c>
    </row>
    <row r="69" spans="1:48">
      <c r="A69" s="143" t="s">
        <v>127</v>
      </c>
      <c r="B69" s="157">
        <v>7260</v>
      </c>
      <c r="C69" s="165">
        <v>1200</v>
      </c>
      <c r="D69" s="49">
        <f>INDEX(Parameters!$D$79:$D$90,MATCH(Inputs!A69,Parameters!$C$79:$C$90,0))</f>
        <v>1</v>
      </c>
    </row>
    <row r="70" spans="1:48">
      <c r="A70" s="143" t="s">
        <v>151</v>
      </c>
      <c r="B70" s="157">
        <v>7260</v>
      </c>
      <c r="C70" s="165">
        <v>1200</v>
      </c>
      <c r="D70" s="49">
        <f>INDEX(Parameters!$D$79:$D$90,MATCH(Inputs!A70,Parameters!$C$79:$C$90,0))</f>
        <v>2</v>
      </c>
    </row>
    <row r="71" spans="1:48">
      <c r="A71" s="144" t="s">
        <v>152</v>
      </c>
      <c r="B71" s="158">
        <v>7260</v>
      </c>
      <c r="C71" s="167">
        <v>1200</v>
      </c>
      <c r="D71" s="49">
        <f>INDEX(Parameters!$D$79:$D$90,MATCH(Inputs!A71,Parameters!$C$79:$C$90,0))</f>
        <v>3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2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43374</v>
      </c>
      <c r="C4" s="38">
        <f>IFERROR(DATE(YEAR(B4),MONTH(B4)+ROUND(T4/2,0),DAY(B4)),B4)</f>
        <v>43374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12000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43374</v>
      </c>
      <c r="C5" s="39">
        <f>IFERROR(DATE(YEAR(B5),MONTH(B5)+ROUND(T5/2,0),DAY(B5)),B5)</f>
        <v>43374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12000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1300</v>
      </c>
      <c r="B23" s="75">
        <f>SUM(C23:D23)</f>
        <v>23.83333333333333</v>
      </c>
      <c r="C23" s="75">
        <f>IF(Inputs!B56&gt;0,(Inputs!A56-Inputs!B56)/(DATE(YEAR(Inputs!$B$76),MONTH(Inputs!$B$76),DAY(Inputs!$B$76))-DATE(YEAR(Inputs!C56),MONTH(Inputs!C56),DAY(Inputs!C56)))*30,0)</f>
        <v>-0</v>
      </c>
      <c r="D23" s="75">
        <f>IF(Inputs!B56&gt;0,Inputs!A56*0.22/12,0)</f>
        <v>23.83333333333333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43160</v>
      </c>
      <c r="F33" t="s">
        <v>158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43191</v>
      </c>
      <c r="F34" t="s">
        <v>159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43221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43252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43282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43313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43344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43374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43405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43435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43497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43532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43525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43563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43556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43593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43586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43624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43617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43654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43647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43685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43678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43716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43709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43746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43739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43777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43770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43807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43800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43838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43831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43869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43862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199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295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295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295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92</v>
      </c>
      <c r="C41" s="191" t="s">
        <v>109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129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227</v>
      </c>
      <c r="E53" s="10" t="s">
        <v>186</v>
      </c>
      <c r="F53" s="10" t="s">
        <v>246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164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223</v>
      </c>
      <c r="J76" s="11" t="s">
        <v>346</v>
      </c>
      <c r="K76" s="11" t="s">
        <v>176</v>
      </c>
      <c r="AJ76" s="12"/>
    </row>
    <row r="77" spans="1:36">
      <c r="A77" t="s">
        <v>109</v>
      </c>
      <c r="B77" s="176">
        <v>0</v>
      </c>
      <c r="C77" s="12" t="s">
        <v>347</v>
      </c>
      <c r="E77" s="12" t="s">
        <v>92</v>
      </c>
      <c r="F77" s="12" t="s">
        <v>92</v>
      </c>
      <c r="G77" s="12" t="s">
        <v>348</v>
      </c>
      <c r="H77" s="12" t="s">
        <v>129</v>
      </c>
      <c r="I77" s="12" t="s">
        <v>349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350</v>
      </c>
      <c r="D78" s="133"/>
      <c r="E78" s="12" t="s">
        <v>351</v>
      </c>
      <c r="F78" s="12" t="s">
        <v>93</v>
      </c>
      <c r="G78" s="12" t="s">
        <v>352</v>
      </c>
      <c r="H78" s="12" t="s">
        <v>313</v>
      </c>
      <c r="I78" s="12" t="s">
        <v>353</v>
      </c>
      <c r="J78" s="70" t="s">
        <v>354</v>
      </c>
      <c r="K78" s="12" t="s">
        <v>92</v>
      </c>
      <c r="AJ78" s="12"/>
    </row>
    <row r="79" spans="1:36">
      <c r="B79" s="176">
        <v>10</v>
      </c>
      <c r="C79" s="12" t="s">
        <v>127</v>
      </c>
      <c r="D79" s="12">
        <v>1</v>
      </c>
      <c r="E79" s="12" t="s">
        <v>355</v>
      </c>
      <c r="F79" s="12" t="s">
        <v>356</v>
      </c>
      <c r="G79" s="12" t="s">
        <v>110</v>
      </c>
      <c r="I79" s="12" t="s">
        <v>164</v>
      </c>
      <c r="J79" s="70" t="s">
        <v>357</v>
      </c>
      <c r="K79" s="12" t="s">
        <v>92</v>
      </c>
      <c r="AJ79" s="12"/>
    </row>
    <row r="80" spans="1:36">
      <c r="B80" s="176">
        <v>20</v>
      </c>
      <c r="C80" s="12" t="s">
        <v>151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109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361</v>
      </c>
      <c r="K81" s="12" t="s">
        <v>109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363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