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<sst xmlns="http://schemas.openxmlformats.org/spreadsheetml/2006/main" uniqueCount="367">
  <si>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</si>
  <si>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</si>
  <si>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</si>
  <si>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</si>
  <si>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</si>
  <si>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</si>
  <si>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</si>
  <si>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</si>
  <si>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</si>
  <si>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</si>
  <si>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</si>
  <si>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</si>
  <si>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</si>
  <si>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</si>
  <si>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</si>
  <si>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</si>
  <si>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</si>
  <si>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</si>
  <si>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</si>
  <si>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</si>
  <si>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</si>
  <si>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</si>
  <si>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</si>
  <si>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</si>
  <si>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</si>
  <si>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</si>
  <si>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</si>
  <si>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</si>
  <si>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</si>
  <si>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</si>
  <si>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</si>
  <si>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</si>
  <si>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</si>
  <si>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</si>
  <si>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</si>
  <si>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</si>
  <si>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</si>
  <si>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</si>
  <si>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</si>
  <si>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</si>
  <si>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</si>
  <si>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</si>
  <si>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</si>
  <si>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</si>
  <si>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</si>
  <si>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</si>
  <si>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</si>
  <si>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</si>
  <si>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</si>
  <si>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</si>
  <si>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</si>
  <si>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</si>
  <si>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</si>
  <si>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</si>
  <si>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</si>
  <si>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</si>
  <si>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</si>
  <si>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</si>
  <si>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</si>
  <si>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</si>
  <si>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</si>
  <si>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</si>
  <si>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</si>
  <si>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</si>
  <si>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</si>
  <si>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</si>
  <si>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</si>
  <si>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</si>
  <si>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</si>
  <si>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</si>
  <si>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</si>
  <si>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</si>
  <si>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</si>
  <si>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</si>
  <si>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</si>
  <si>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</si>
  <si>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</si>
  <si>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</si>
  <si>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</si>
  <si>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</si>
  <si>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</si>
  <si>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</si>
  <si>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</si>
  <si>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</si>
  <si>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</si>
  <si>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</si>
  <si>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</si>
  <si>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</si>
  <si>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</si>
  <si>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</si>
  <si>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Other farmers</t>
  </si>
  <si>
    <t>Yes both manure and inorganic</t>
  </si>
  <si>
    <t>Yes</t>
  </si>
  <si>
    <t>Yes without the use of a pump</t>
  </si>
  <si>
    <t>every month</t>
  </si>
  <si>
    <t>NGO</t>
  </si>
  <si>
    <t>Mangoes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</si>
  <si>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</si>
  <si>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</si>
  <si>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</si>
  <si>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</si>
  <si>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</si>
  <si>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</si>
  <si>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</si>
  <si>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</si>
  <si>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</si>
  <si>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</si>
  <si>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</si>
  <si>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</si>
  <si>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</si>
  <si>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</si>
  <si>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Sometimes</t>
  </si>
  <si>
    <t>Goat</t>
  </si>
  <si>
    <t>Chicken_broilers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</si>
  <si>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</si>
  <si>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</si>
  <si>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</si>
  <si>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</si>
  <si>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Mpesa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</si>
  <si>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</si>
  <si>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</si>
  <si>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</si>
  <si>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</si>
  <si>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</si>
  <si>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</si>
  <si>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</si>
  <si>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</si>
  <si>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</si>
  <si>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</si>
  <si>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</si>
  <si>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</si>
  <si>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</si>
  <si>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</si>
  <si>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</si>
  <si>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</si>
  <si>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</si>
  <si>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</si>
  <si>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</si>
  <si>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</si>
  <si>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</si>
  <si>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</si>
  <si>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</si>
  <si>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</si>
  <si>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</si>
  <si>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</si>
  <si>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</si>
  <si>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</si>
  <si>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2/8/2018</t>
  </si>
  <si>
    <t>Mpesa &amp; bank cash flows (from past statements)</t>
  </si>
  <si>
    <t>Cash inflows</t>
  </si>
  <si>
    <t>Cash outflows</t>
  </si>
  <si>
    <t>Loan info</t>
  </si>
  <si>
    <t>Branch ID</t>
  </si>
  <si>
    <t>Submission date</t>
  </si>
  <si>
    <t>2018/2/8</t>
  </si>
  <si>
    <t>Loan terms</t>
  </si>
  <si>
    <t>Expected disbursement date</t>
  </si>
  <si>
    <t>Expected first repayment date</t>
  </si>
  <si>
    <t>2018/3/8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</si>
  <si>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</si>
  <si>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</si>
  <si>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</si>
  <si>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</si>
  <si>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</si>
  <si>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</si>
  <si>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</si>
  <si>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</si>
  <si>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</si>
  <si>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</si>
  <si>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</si>
  <si>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</si>
  <si>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</si>
  <si>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</si>
  <si>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</si>
  <si>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</si>
  <si>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</si>
  <si>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</si>
  <si>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</si>
  <si>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</si>
  <si>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</si>
  <si>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</si>
  <si>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</si>
  <si>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</si>
  <si>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</si>
  <si>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</si>
  <si>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</si>
  <si>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</si>
  <si>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</si>
  <si>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</si>
  <si>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</si>
  <si>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</si>
  <si>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</si>
  <si>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</si>
  <si>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</si>
  <si>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</si>
  <si>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</si>
  <si>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</si>
  <si>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</si>
  <si>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</si>
  <si>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</si>
  <si>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</si>
  <si>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</si>
  <si>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</si>
  <si>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</si>
  <si>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</si>
  <si>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</si>
  <si>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</si>
  <si>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</si>
  <si>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</si>
  <si>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</si>
  <si>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</si>
  <si>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</si>
  <si>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</si>
  <si>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</si>
  <si>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</si>
  <si>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</si>
  <si>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</si>
  <si>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</si>
  <si>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</si>
  <si>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</si>
  <si>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</si>
  <si>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</si>
  <si>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</si>
  <si>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</si>
  <si>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</si>
  <si>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</si>
  <si>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</si>
  <si>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</si>
  <si>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</si>
  <si>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</si>
  <si>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</si>
  <si>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</si>
  <si>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</si>
  <si>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</si>
  <si>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</si>
  <si>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</si>
  <si>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</si>
  <si>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</si>
  <si>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</si>
  <si>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</si>
  <si>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</si>
  <si>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</si>
  <si>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</si>
  <si>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</si>
  <si>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</si>
  <si>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</si>
  <si>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</si>
  <si>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</si>
  <si>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</si>
  <si>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</si>
  <si>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</si>
  <si>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</si>
  <si>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</si>
  <si>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</si>
  <si>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</si>
  <si>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</si>
  <si>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</si>
  <si>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</si>
  <si>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</si>
  <si>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</si>
  <si>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</si>
  <si>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</si>
  <si>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</si>
  <si>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</si>
  <si>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</si>
  <si>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</si>
  <si>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</si>
  <si>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</si>
  <si>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</si>
  <si>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</si>
  <si>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</si>
  <si>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</si>
  <si>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</si>
  <si>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</si>
  <si>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</si>
  <si>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</si>
  <si>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</si>
  <si>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</si>
  <si>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</si>
  <si>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</si>
  <si>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</si>
  <si>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</si>
  <si>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</si>
  <si>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</si>
  <si>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</si>
  <si>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</si>
  <si>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</si>
  <si>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</si>
  <si>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</si>
  <si>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</si>
  <si>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</si>
  <si>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</si>
  <si>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</si>
  <si>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</si>
  <si>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</si>
  <si>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</si>
  <si>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</si>
  <si>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</si>
  <si>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</si>
  <si>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</si>
  <si>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</si>
  <si>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</si>
  <si>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</si>
  <si>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</si>
  <si>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</si>
  <si>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</si>
  <si>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</si>
  <si>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</si>
  <si>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</si>
  <si>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</si>
  <si>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</si>
  <si>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</si>
  <si>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</si>
  <si>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</si>
  <si>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</si>
  <si>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</si>
  <si>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</si>
  <si>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</si>
  <si>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</si>
  <si>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</si>
  <si>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</si>
  <si>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</si>
  <si>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</si>
  <si>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</si>
  <si>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</si>
  <si>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</si>
  <si>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</si>
  <si>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</si>
  <si>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</si>
  <si>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</si>
  <si>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</si>
  <si>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</si>
  <si>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</si>
  <si>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</si>
  <si>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</si>
  <si>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</si>
  <si>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</si>
  <si>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</si>
  <si>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</si>
  <si>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</si>
  <si>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</si>
  <si>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</si>
  <si>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</si>
  <si>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</si>
  <si>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</si>
  <si>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</si>
  <si>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</si>
  <si>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</si>
  <si>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</si>
  <si>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</si>
  <si>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</si>
  <si>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January</t>
  </si>
  <si>
    <t>Yes inorganic fertilizers</t>
  </si>
  <si>
    <t>Yes using a solar pump</t>
  </si>
  <si>
    <t>Always</t>
  </si>
  <si>
    <t>Shop_common variety</t>
  </si>
  <si>
    <t>February</t>
  </si>
  <si>
    <t>Shop_certified variety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</si>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</sst>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Mangoes,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Goat, Chicken_broilers, Chicken: sale of ex layers</v>
      </c>
    </row>
    <row r="8" spans="1:7">
      <c r="B8" s="1" t="s">
        <v>4</v>
      </c>
      <c r="C8" t="str">
        <f>IF(Inputs!B29="","None",Inputs!B29)</f>
        <v>Mpesa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0.3509390188391114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0.1415094339622641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21666.66666666667</v>
      </c>
    </row>
    <row r="17" spans="1:7">
      <c r="B17" s="1" t="s">
        <v>11</v>
      </c>
      <c r="C17" s="36">
        <f>SUM(Output!B6:M6)</f>
        <v>417524.9999999999</v>
      </c>
    </row>
    <row r="18" spans="1:7">
      <c r="B18" s="1" t="s">
        <v>12</v>
      </c>
      <c r="C18" s="36">
        <f>MIN(Output!B6:M6)</f>
        <v>34793.74999999999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34793.74999999999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0</v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34793.74999999999</v>
      </c>
      <c r="C6" s="51">
        <f>C30-C88</f>
        <v>34793.74999999999</v>
      </c>
      <c r="D6" s="51">
        <f>D30-D88</f>
        <v>34793.74999999999</v>
      </c>
      <c r="E6" s="51">
        <f>E30-E88</f>
        <v>34793.74999999999</v>
      </c>
      <c r="F6" s="51">
        <f>F30-F88</f>
        <v>34793.74999999999</v>
      </c>
      <c r="G6" s="51">
        <f>G30-G88</f>
        <v>34793.74999999999</v>
      </c>
      <c r="H6" s="51">
        <f>H30-H88</f>
        <v>34793.74999999999</v>
      </c>
      <c r="I6" s="51">
        <f>I30-I88</f>
        <v>34793.74999999999</v>
      </c>
      <c r="J6" s="51">
        <f>J30-J88</f>
        <v>34793.74999999999</v>
      </c>
      <c r="K6" s="51">
        <f>K30-K88</f>
        <v>34793.74999999999</v>
      </c>
      <c r="L6" s="51">
        <f>L30-L88</f>
        <v>34793.74999999999</v>
      </c>
      <c r="M6" s="51">
        <f>M30-M88</f>
        <v>34793.74999999999</v>
      </c>
      <c r="N6" s="51">
        <f>N30-N88</f>
        <v>34793.74999999999</v>
      </c>
      <c r="O6" s="51">
        <f>O30-O88</f>
        <v>34793.74999999999</v>
      </c>
      <c r="P6" s="51">
        <f>P30-P88</f>
        <v>34793.74999999999</v>
      </c>
      <c r="Q6" s="51">
        <f>Q30-Q88</f>
        <v>34793.74999999999</v>
      </c>
      <c r="R6" s="51">
        <f>R30-R88</f>
        <v>34793.74999999999</v>
      </c>
      <c r="S6" s="51">
        <f>S30-S88</f>
        <v>34793.74999999999</v>
      </c>
      <c r="T6" s="51">
        <f>T30-T88</f>
        <v>34793.74999999999</v>
      </c>
      <c r="U6" s="51">
        <f>U30-U88</f>
        <v>34793.74999999999</v>
      </c>
      <c r="V6" s="51">
        <f>V30-V88</f>
        <v>34793.74999999999</v>
      </c>
      <c r="W6" s="51">
        <f>W30-W88</f>
        <v>34793.74999999999</v>
      </c>
      <c r="X6" s="51">
        <f>X30-X88</f>
        <v>34793.74999999999</v>
      </c>
      <c r="Y6" s="51">
        <f>Y30-Y88</f>
        <v>34793.74999999999</v>
      </c>
      <c r="Z6" s="51">
        <f>SUMIF($B$13:$Y$13,"Yes",B6:Y6)</f>
        <v>835049.9999999999</v>
      </c>
      <c r="AA6" s="51">
        <f>AA30-AA88</f>
        <v>417524.9999999999</v>
      </c>
      <c r="AB6" s="51">
        <f>AB30-AB88</f>
        <v>835050.0000000002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>
        <f>IF(ISERROR(VLOOKUP(MONTH(L5),Inputs!$D$66:$D$71,1,0)),"",INDEX(Inputs!$B$66:$B$71,MATCH(MONTH(Output!L5),Inputs!$D$66:$D$71,0))-INDEX(Inputs!$C$66:$C$71,MATCH(MONTH(Output!L5),Inputs!$D$66:$D$71,0)))</f>
        <v>0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>
        <f>IF(ISERROR(VLOOKUP(MONTH(X5),Inputs!$D$66:$D$71,1,0)),"",INDEX(Inputs!$B$66:$B$71,MATCH(MONTH(Output!X5),Inputs!$D$66:$D$71,0))-INDEX(Inputs!$C$66:$C$71,MATCH(MONTH(Output!X5),Inputs!$D$66:$D$71,0)))</f>
        <v>0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5000</v>
      </c>
      <c r="D10" s="37">
        <f>SUMPRODUCT((Calculations!$D$33:$D$84=Output!D5)+0,Calculations!$C$33:$C$84)</f>
        <v>5000</v>
      </c>
      <c r="E10" s="37">
        <f>SUMPRODUCT((Calculations!$D$33:$D$84=Output!E5)+0,Calculations!$C$33:$C$84)</f>
        <v>5000</v>
      </c>
      <c r="F10" s="37">
        <f>SUMPRODUCT((Calculations!$D$33:$D$84=Output!F5)+0,Calculations!$C$33:$C$84)</f>
        <v>5000</v>
      </c>
      <c r="G10" s="37">
        <f>SUMPRODUCT((Calculations!$D$33:$D$84=Output!G5)+0,Calculations!$C$33:$C$84)</f>
        <v>5000</v>
      </c>
      <c r="H10" s="37">
        <f>SUMPRODUCT((Calculations!$D$33:$D$84=Output!H5)+0,Calculations!$C$33:$C$84)</f>
        <v>5000</v>
      </c>
      <c r="I10" s="37">
        <f>SUMPRODUCT((Calculations!$D$33:$D$84=Output!I5)+0,Calculations!$C$33:$C$84)</f>
        <v>21666.66666666667</v>
      </c>
      <c r="J10" s="37">
        <f>SUMPRODUCT((Calculations!$D$33:$D$84=Output!J5)+0,Calculations!$C$33:$C$84)</f>
        <v>21666.66666666667</v>
      </c>
      <c r="K10" s="37">
        <f>SUMPRODUCT((Calculations!$D$33:$D$84=Output!K5)+0,Calculations!$C$33:$C$84)</f>
        <v>21666.66666666667</v>
      </c>
      <c r="L10" s="37">
        <f>SUMPRODUCT((Calculations!$D$33:$D$84=Output!L5)+0,Calculations!$C$33:$C$84)</f>
        <v>21666.66666666667</v>
      </c>
      <c r="M10" s="37">
        <f>SUMPRODUCT((Calculations!$D$33:$D$84=Output!M5)+0,Calculations!$C$33:$C$84)</f>
        <v>21666.66666666667</v>
      </c>
      <c r="N10" s="37">
        <f>SUMPRODUCT((Calculations!$D$33:$D$84=Output!N5)+0,Calculations!$C$33:$C$84)</f>
        <v>21666.66666666667</v>
      </c>
      <c r="O10" s="37">
        <f>SUMPRODUCT((Calculations!$D$33:$D$84=Output!O5)+0,Calculations!$C$33:$C$84)</f>
        <v>21666.66666666667</v>
      </c>
      <c r="P10" s="37">
        <f>SUMPRODUCT((Calculations!$D$33:$D$84=Output!P5)+0,Calculations!$C$33:$C$84)</f>
        <v>21666.66666666667</v>
      </c>
      <c r="Q10" s="37">
        <f>SUMPRODUCT((Calculations!$D$33:$D$84=Output!Q5)+0,Calculations!$C$33:$C$84)</f>
        <v>21666.66666666667</v>
      </c>
      <c r="R10" s="37">
        <f>SUMPRODUCT((Calculations!$D$33:$D$84=Output!R5)+0,Calculations!$C$33:$C$84)</f>
        <v>21666.66666666667</v>
      </c>
      <c r="S10" s="37">
        <f>SUMPRODUCT((Calculations!$D$33:$D$84=Output!S5)+0,Calculations!$C$33:$C$84)</f>
        <v>21666.66666666667</v>
      </c>
      <c r="T10" s="37">
        <f>SUMPRODUCT((Calculations!$D$33:$D$84=Output!T5)+0,Calculations!$C$33:$C$84)</f>
        <v>21666.66666666667</v>
      </c>
      <c r="U10" s="37">
        <f>SUMPRODUCT((Calculations!$D$33:$D$84=Output!U5)+0,Calculations!$C$33:$C$84)</f>
        <v>21666.66666666667</v>
      </c>
      <c r="V10" s="37">
        <f>SUMPRODUCT((Calculations!$D$33:$D$84=Output!V5)+0,Calculations!$C$33:$C$84)</f>
        <v>21666.66666666667</v>
      </c>
      <c r="W10" s="37">
        <f>SUMPRODUCT((Calculations!$D$33:$D$84=Output!W5)+0,Calculations!$C$33:$C$84)</f>
        <v>21666.66666666667</v>
      </c>
      <c r="X10" s="37">
        <f>SUMPRODUCT((Calculations!$D$33:$D$84=Output!X5)+0,Calculations!$C$33:$C$84)</f>
        <v>21666.66666666667</v>
      </c>
      <c r="Y10" s="37">
        <f>SUMPRODUCT((Calculations!$D$33:$D$84=Output!Y5)+0,Calculations!$C$33:$C$84)</f>
        <v>21666.66666666667</v>
      </c>
      <c r="Z10" s="37">
        <f>SUMIF($B$13:$Y$13,"Yes",B10:Y10)</f>
        <v>398333.3333333334</v>
      </c>
      <c r="AA10" s="37">
        <f>SUM(B10:M10)</f>
        <v>138333.3333333333</v>
      </c>
      <c r="AB10" s="37">
        <f>SUM(B10:Y10)</f>
        <v>398333.3333333334</v>
      </c>
    </row>
    <row r="11" spans="1:30" customHeight="1" ht="15.75">
      <c r="A11" s="43" t="s">
        <v>31</v>
      </c>
      <c r="B11" s="80">
        <f>B6+B9-B10</f>
        <v>334793.75</v>
      </c>
      <c r="C11" s="80">
        <f>C6+C9-C10</f>
        <v>29793.74999999999</v>
      </c>
      <c r="D11" s="80">
        <f>D6+D9-D10</f>
        <v>29793.74999999999</v>
      </c>
      <c r="E11" s="80">
        <f>E6+E9-E10</f>
        <v>29793.74999999999</v>
      </c>
      <c r="F11" s="80">
        <f>F6+F9-F10</f>
        <v>29793.74999999999</v>
      </c>
      <c r="G11" s="80">
        <f>G6+G9-G10</f>
        <v>29793.74999999999</v>
      </c>
      <c r="H11" s="80">
        <f>H6+H9-H10</f>
        <v>29793.74999999999</v>
      </c>
      <c r="I11" s="80">
        <f>I6+I9-I10</f>
        <v>13127.08333333332</v>
      </c>
      <c r="J11" s="80">
        <f>J6+J9-J10</f>
        <v>13127.08333333332</v>
      </c>
      <c r="K11" s="80">
        <f>K6+K9-K10</f>
        <v>13127.08333333332</v>
      </c>
      <c r="L11" s="80">
        <f>L6+L9-L10</f>
        <v>13127.08333333332</v>
      </c>
      <c r="M11" s="80">
        <f>M6+M9-M10</f>
        <v>13127.08333333332</v>
      </c>
      <c r="N11" s="80">
        <f>N6+N9-N10</f>
        <v>13127.08333333332</v>
      </c>
      <c r="O11" s="80">
        <f>O6+O9-O10</f>
        <v>13127.08333333332</v>
      </c>
      <c r="P11" s="80">
        <f>P6+P9-P10</f>
        <v>13127.08333333332</v>
      </c>
      <c r="Q11" s="80">
        <f>Q6+Q9-Q10</f>
        <v>13127.08333333332</v>
      </c>
      <c r="R11" s="80">
        <f>R6+R9-R10</f>
        <v>13127.08333333332</v>
      </c>
      <c r="S11" s="80">
        <f>S6+S9-S10</f>
        <v>13127.08333333332</v>
      </c>
      <c r="T11" s="80">
        <f>T6+T9-T10</f>
        <v>13127.08333333332</v>
      </c>
      <c r="U11" s="80">
        <f>U6+U9-U10</f>
        <v>13127.08333333332</v>
      </c>
      <c r="V11" s="80">
        <f>V6+V9-V10</f>
        <v>13127.08333333332</v>
      </c>
      <c r="W11" s="80">
        <f>W6+W9-W10</f>
        <v>13127.08333333332</v>
      </c>
      <c r="X11" s="80">
        <f>X6+X9-X10</f>
        <v>13127.08333333332</v>
      </c>
      <c r="Y11" s="80">
        <f>Y6+Y9-Y10</f>
        <v>13127.08333333332</v>
      </c>
      <c r="Z11" s="85">
        <f>SUMIF($B$13:$Y$13,"Yes",B11:Y11)</f>
        <v>736716.6666666673</v>
      </c>
      <c r="AA11" s="80">
        <f>SUM(B11:M11)</f>
        <v>579191.6666666669</v>
      </c>
      <c r="AB11" s="46">
        <f>SUM(B11:Y11)</f>
        <v>736716.6666666673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0.01352859606994284</v>
      </c>
      <c r="D12" s="82">
        <f>IF(D13="Yes",IF(SUM($B$10:D10)/(SUM($B$6:D6)+SUM($B$9:D9))&lt;0,999.99,SUM($B$10:D10)/(SUM($B$6:D6)+SUM($B$9:D9))),"")</f>
        <v>0.02472913865318929</v>
      </c>
      <c r="E12" s="82">
        <f>IF(E13="Yes",IF(SUM($B$10:E10)/(SUM($B$6:E6)+SUM($B$9:E9))&lt;0,999.99,SUM($B$10:E10)/(SUM($B$6:E6)+SUM($B$9:E9))),"")</f>
        <v>0.03415494962144931</v>
      </c>
      <c r="F12" s="82">
        <f>IF(F13="Yes",IF(SUM($B$10:F10)/(SUM($B$6:F6)+SUM($B$9:F9))&lt;0,999.99,SUM($B$10:F10)/(SUM($B$6:F6)+SUM($B$9:F9))),"")</f>
        <v>0.04219687479396057</v>
      </c>
      <c r="G12" s="82">
        <f>IF(G13="Yes",IF(SUM($B$10:G10)/(SUM($B$6:G6)+SUM($B$9:G9))&lt;0,999.99,SUM($B$10:G10)/(SUM($B$6:G6)+SUM($B$9:G9))),"")</f>
        <v>0.04913884179749883</v>
      </c>
      <c r="H12" s="82">
        <f>IF(H13="Yes",IF(SUM($B$10:H10)/(SUM($B$6:H6)+SUM($B$9:H9))&lt;0,999.99,SUM($B$10:H10)/(SUM($B$6:H6)+SUM($B$9:H9))),"")</f>
        <v>0.05519207993652911</v>
      </c>
      <c r="I12" s="82">
        <f>IF(I13="Yes",IF(SUM($B$10:I10)/(SUM($B$6:I6)+SUM($B$9:I9))&lt;0,999.99,SUM($B$10:I10)/(SUM($B$6:I6)+SUM($B$9:I9))),"")</f>
        <v>0.08933460130831965</v>
      </c>
      <c r="J12" s="82">
        <f>IF(J13="Yes",IF(SUM($B$10:J10)/(SUM($B$6:J6)+SUM($B$9:J9))&lt;0,999.99,SUM($B$10:J10)/(SUM($B$6:J6)+SUM($B$9:J9))),"")</f>
        <v>0.1196021868172567</v>
      </c>
      <c r="K12" s="82">
        <f>IF(K13="Yes",IF(SUM($B$10:K10)/(SUM($B$6:K6)+SUM($B$9:K9))&lt;0,999.99,SUM($B$10:K10)/(SUM($B$6:K6)+SUM($B$9:K9))),"")</f>
        <v>0.1466190797723546</v>
      </c>
      <c r="L12" s="82">
        <f>IF(L13="Yes",IF(SUM($B$10:L10)/(SUM($B$6:L6)+SUM($B$9:L9))&lt;0,999.99,SUM($B$10:L10)/(SUM($B$6:L6)+SUM($B$9:L9))),"")</f>
        <v>0.1708822712695027</v>
      </c>
      <c r="M12" s="82">
        <f>IF(M13="Yes",IF(SUM($B$10:M10)/(SUM($B$6:M6)+SUM($B$9:M9))&lt;0,999.99,SUM($B$10:M10)/(SUM($B$6:M6)+SUM($B$9:M9))),"")</f>
        <v>0.1927923533442505</v>
      </c>
      <c r="N12" s="82">
        <f>IF(N13="Yes",IF(SUM($B$10:N10)/(SUM($B$6:N6)+SUM($B$9:N9))&lt;0,999.99,SUM($B$10:N10)/(SUM($B$6:N6)+SUM($B$9:N9))),"")</f>
        <v>0.2126758106188368</v>
      </c>
      <c r="O12" s="82">
        <f>IF(O13="Yes",IF(SUM($B$10:O10)/(SUM($B$6:O6)+SUM($B$9:O9))&lt;0,999.99,SUM($B$10:O10)/(SUM($B$6:O6)+SUM($B$9:O9))),"")</f>
        <v>0.230801399630506</v>
      </c>
      <c r="P12" s="82">
        <f>IF(P13="Yes",IF(SUM($B$10:P10)/(SUM($B$6:P6)+SUM($B$9:P9))&lt;0,999.99,SUM($B$10:P10)/(SUM($B$6:P6)+SUM($B$9:P9))),"")</f>
        <v>0.2473923678440617</v>
      </c>
      <c r="Q12" s="82">
        <f>IF(Q13="Yes",IF(SUM($B$10:Q10)/(SUM($B$6:Q6)+SUM($B$9:Q9))&lt;0,999.99,SUM($B$10:Q10)/(SUM($B$6:Q6)+SUM($B$9:Q9))),"")</f>
        <v>0.2626356951091397</v>
      </c>
      <c r="R12" s="82">
        <f>IF(R13="Yes",IF(SUM($B$10:R10)/(SUM($B$6:R6)+SUM($B$9:R9))&lt;0,999.99,SUM($B$10:R10)/(SUM($B$6:R6)+SUM($B$9:R9))),"")</f>
        <v>0.2766891710308307</v>
      </c>
      <c r="S12" s="82">
        <f>IF(S13="Yes",IF(SUM($B$10:S10)/(SUM($B$6:S6)+SUM($B$9:S9))&lt;0,999.99,SUM($B$10:S10)/(SUM($B$6:S6)+SUM($B$9:S9))),"")</f>
        <v>0.2896868772744243</v>
      </c>
      <c r="T12" s="82">
        <f>IF(T13="Yes",IF(SUM($B$10:T10)/(SUM($B$6:T6)+SUM($B$9:T9))&lt;0,999.99,SUM($B$10:T10)/(SUM($B$6:T6)+SUM($B$9:T9))),"")</f>
        <v>0.3017434790242761</v>
      </c>
      <c r="U12" s="82">
        <f>IF(U13="Yes",IF(SUM($B$10:U10)/(SUM($B$6:U6)+SUM($B$9:U9))&lt;0,999.99,SUM($B$10:U10)/(SUM($B$6:U6)+SUM($B$9:U9))),"")</f>
        <v>0.3129576168361157</v>
      </c>
      <c r="V12" s="82">
        <f>IF(V13="Yes",IF(SUM($B$10:V10)/(SUM($B$6:V6)+SUM($B$9:V9))&lt;0,999.99,SUM($B$10:V10)/(SUM($B$6:V6)+SUM($B$9:V9))),"")</f>
        <v>0.3234146114678779</v>
      </c>
      <c r="W12" s="82">
        <f>IF(W13="Yes",IF(SUM($B$10:W10)/(SUM($B$6:W6)+SUM($B$9:W9))&lt;0,999.99,SUM($B$10:W10)/(SUM($B$6:W6)+SUM($B$9:W9))),"")</f>
        <v>0.3331886387366989</v>
      </c>
      <c r="X12" s="82">
        <f>IF(X13="Yes",IF(SUM($B$10:X10)/(SUM($B$6:X6)+SUM($B$9:X9))&lt;0,999.99,SUM($B$10:X10)/(SUM($B$6:X6)+SUM($B$9:X9))),"")</f>
        <v>0.3423444917187853</v>
      </c>
      <c r="Y12" s="82">
        <f>IF(Y13="Yes",IF(SUM($B$10:Y10)/(SUM($B$6:Y6)+SUM($B$9:Y9))&lt;0,999.99,SUM($B$10:Y10)/(SUM($B$6:Y6)+SUM($B$9:Y9))),"")</f>
        <v>0.3509390188391114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 t="str">
        <f>IF(Calculations!A7&lt;&gt;Parameters!$A$18,IF(Calculations!A7=0,"",Calculations!A7),Inputs!B10)</f>
        <v>Mangoes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62000.00000000002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91999.99999999999</v>
      </c>
      <c r="C24" s="36">
        <f>IFERROR(Calculations!$P14/12,"")</f>
        <v>91999.99999999999</v>
      </c>
      <c r="D24" s="36">
        <f>IFERROR(Calculations!$P14/12,"")</f>
        <v>91999.99999999999</v>
      </c>
      <c r="E24" s="36">
        <f>IFERROR(Calculations!$P14/12,"")</f>
        <v>91999.99999999999</v>
      </c>
      <c r="F24" s="36">
        <f>IFERROR(Calculations!$P14/12,"")</f>
        <v>91999.99999999999</v>
      </c>
      <c r="G24" s="36">
        <f>IFERROR(Calculations!$P14/12,"")</f>
        <v>91999.99999999999</v>
      </c>
      <c r="H24" s="36">
        <f>IFERROR(Calculations!$P14/12,"")</f>
        <v>91999.99999999999</v>
      </c>
      <c r="I24" s="36">
        <f>IFERROR(Calculations!$P14/12,"")</f>
        <v>91999.99999999999</v>
      </c>
      <c r="J24" s="36">
        <f>IFERROR(Calculations!$P14/12,"")</f>
        <v>91999.99999999999</v>
      </c>
      <c r="K24" s="36">
        <f>IFERROR(Calculations!$P14/12,"")</f>
        <v>91999.99999999999</v>
      </c>
      <c r="L24" s="36">
        <f>IFERROR(Calculations!$P14/12,"")</f>
        <v>91999.99999999999</v>
      </c>
      <c r="M24" s="36">
        <f>IFERROR(Calculations!$P14/12,"")</f>
        <v>91999.99999999999</v>
      </c>
      <c r="N24" s="36">
        <f>IFERROR(Calculations!$P14/12,"")</f>
        <v>91999.99999999999</v>
      </c>
      <c r="O24" s="36">
        <f>IFERROR(Calculations!$P14/12,"")</f>
        <v>91999.99999999999</v>
      </c>
      <c r="P24" s="36">
        <f>IFERROR(Calculations!$P14/12,"")</f>
        <v>91999.99999999999</v>
      </c>
      <c r="Q24" s="36">
        <f>IFERROR(Calculations!$P14/12,"")</f>
        <v>91999.99999999999</v>
      </c>
      <c r="R24" s="36">
        <f>IFERROR(Calculations!$P14/12,"")</f>
        <v>91999.99999999999</v>
      </c>
      <c r="S24" s="36">
        <f>IFERROR(Calculations!$P14/12,"")</f>
        <v>91999.99999999999</v>
      </c>
      <c r="T24" s="36">
        <f>IFERROR(Calculations!$P14/12,"")</f>
        <v>91999.99999999999</v>
      </c>
      <c r="U24" s="36">
        <f>IFERROR(Calculations!$P14/12,"")</f>
        <v>91999.99999999999</v>
      </c>
      <c r="V24" s="36">
        <f>IFERROR(Calculations!$P14/12,"")</f>
        <v>91999.99999999999</v>
      </c>
      <c r="W24" s="36">
        <f>IFERROR(Calculations!$P14/12,"")</f>
        <v>91999.99999999999</v>
      </c>
      <c r="X24" s="36">
        <f>IFERROR(Calculations!$P14/12,"")</f>
        <v>91999.99999999999</v>
      </c>
      <c r="Y24" s="36">
        <f>IFERROR(Calculations!$P14/12,"")</f>
        <v>91999.99999999999</v>
      </c>
      <c r="Z24" s="36">
        <f>SUMIF($B$13:$Y$13,"Yes",B24:Y24)</f>
        <v>2208000</v>
      </c>
      <c r="AA24" s="36">
        <f>SUM(B24:M24)</f>
        <v>1104000</v>
      </c>
      <c r="AB24" s="46">
        <f>SUM(B24:Y24)</f>
        <v>2208000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1916.666666666667</v>
      </c>
      <c r="C25" s="36">
        <f>IFERROR(Calculations!$P15/12,"")</f>
        <v>1916.666666666667</v>
      </c>
      <c r="D25" s="36">
        <f>IFERROR(Calculations!$P15/12,"")</f>
        <v>1916.666666666667</v>
      </c>
      <c r="E25" s="36">
        <f>IFERROR(Calculations!$P15/12,"")</f>
        <v>1916.666666666667</v>
      </c>
      <c r="F25" s="36">
        <f>IFERROR(Calculations!$P15/12,"")</f>
        <v>1916.666666666667</v>
      </c>
      <c r="G25" s="36">
        <f>IFERROR(Calculations!$P15/12,"")</f>
        <v>1916.666666666667</v>
      </c>
      <c r="H25" s="36">
        <f>IFERROR(Calculations!$P15/12,"")</f>
        <v>1916.666666666667</v>
      </c>
      <c r="I25" s="36">
        <f>IFERROR(Calculations!$P15/12,"")</f>
        <v>1916.666666666667</v>
      </c>
      <c r="J25" s="36">
        <f>IFERROR(Calculations!$P15/12,"")</f>
        <v>1916.666666666667</v>
      </c>
      <c r="K25" s="36">
        <f>IFERROR(Calculations!$P15/12,"")</f>
        <v>1916.666666666667</v>
      </c>
      <c r="L25" s="36">
        <f>IFERROR(Calculations!$P15/12,"")</f>
        <v>1916.666666666667</v>
      </c>
      <c r="M25" s="36">
        <f>IFERROR(Calculations!$P15/12,"")</f>
        <v>1916.666666666667</v>
      </c>
      <c r="N25" s="36">
        <f>IFERROR(Calculations!$P15/12,"")</f>
        <v>1916.666666666667</v>
      </c>
      <c r="O25" s="36">
        <f>IFERROR(Calculations!$P15/12,"")</f>
        <v>1916.666666666667</v>
      </c>
      <c r="P25" s="36">
        <f>IFERROR(Calculations!$P15/12,"")</f>
        <v>1916.666666666667</v>
      </c>
      <c r="Q25" s="36">
        <f>IFERROR(Calculations!$P15/12,"")</f>
        <v>1916.666666666667</v>
      </c>
      <c r="R25" s="36">
        <f>IFERROR(Calculations!$P15/12,"")</f>
        <v>1916.666666666667</v>
      </c>
      <c r="S25" s="36">
        <f>IFERROR(Calculations!$P15/12,"")</f>
        <v>1916.666666666667</v>
      </c>
      <c r="T25" s="36">
        <f>IFERROR(Calculations!$P15/12,"")</f>
        <v>1916.666666666667</v>
      </c>
      <c r="U25" s="36">
        <f>IFERROR(Calculations!$P15/12,"")</f>
        <v>1916.666666666667</v>
      </c>
      <c r="V25" s="36">
        <f>IFERROR(Calculations!$P15/12,"")</f>
        <v>1916.666666666667</v>
      </c>
      <c r="W25" s="36">
        <f>IFERROR(Calculations!$P15/12,"")</f>
        <v>1916.666666666667</v>
      </c>
      <c r="X25" s="36">
        <f>IFERROR(Calculations!$P15/12,"")</f>
        <v>1916.666666666667</v>
      </c>
      <c r="Y25" s="36">
        <f>IFERROR(Calculations!$P15/12,"")</f>
        <v>1916.666666666667</v>
      </c>
      <c r="Z25" s="36">
        <f>SUMIF($B$13:$Y$13,"Yes",B25:Y25)</f>
        <v>45999.99999999999</v>
      </c>
      <c r="AA25" s="36">
        <f>SUM(B25:M25)</f>
        <v>23000</v>
      </c>
      <c r="AB25" s="46">
        <f>SUM(B25:Y25)</f>
        <v>45999.99999999999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93916.66666666666</v>
      </c>
      <c r="C30" s="19">
        <f>SUM(C18:C29)</f>
        <v>93916.66666666666</v>
      </c>
      <c r="D30" s="19">
        <f>SUM(D18:D29)</f>
        <v>93916.66666666666</v>
      </c>
      <c r="E30" s="19">
        <f>SUM(E18:E29)</f>
        <v>93916.66666666666</v>
      </c>
      <c r="F30" s="19">
        <f>SUM(F18:F29)</f>
        <v>93916.66666666666</v>
      </c>
      <c r="G30" s="19">
        <f>SUM(G18:G29)</f>
        <v>93916.66666666666</v>
      </c>
      <c r="H30" s="19">
        <f>SUM(H18:H29)</f>
        <v>93916.66666666666</v>
      </c>
      <c r="I30" s="19">
        <f>SUM(I18:I29)</f>
        <v>93916.66666666666</v>
      </c>
      <c r="J30" s="19">
        <f>SUM(J18:J29)</f>
        <v>93916.66666666666</v>
      </c>
      <c r="K30" s="19">
        <f>SUM(K18:K29)</f>
        <v>93916.66666666666</v>
      </c>
      <c r="L30" s="19">
        <f>SUM(L18:L29)</f>
        <v>93916.66666666666</v>
      </c>
      <c r="M30" s="19">
        <f>SUM(M18:M29)</f>
        <v>93916.66666666666</v>
      </c>
      <c r="N30" s="19">
        <f>SUM(N18:N29)</f>
        <v>93916.66666666666</v>
      </c>
      <c r="O30" s="19">
        <f>SUM(O18:O29)</f>
        <v>93916.66666666666</v>
      </c>
      <c r="P30" s="19">
        <f>SUM(P18:P29)</f>
        <v>93916.66666666666</v>
      </c>
      <c r="Q30" s="19">
        <f>SUM(Q18:Q29)</f>
        <v>93916.66666666666</v>
      </c>
      <c r="R30" s="19">
        <f>SUM(R18:R29)</f>
        <v>93916.66666666666</v>
      </c>
      <c r="S30" s="19">
        <f>SUM(S18:S29)</f>
        <v>93916.66666666666</v>
      </c>
      <c r="T30" s="19">
        <f>SUM(T18:T29)</f>
        <v>93916.66666666666</v>
      </c>
      <c r="U30" s="19">
        <f>SUM(U18:U29)</f>
        <v>93916.66666666666</v>
      </c>
      <c r="V30" s="19">
        <f>SUM(V18:V29)</f>
        <v>93916.66666666666</v>
      </c>
      <c r="W30" s="19">
        <f>SUM(W18:W29)</f>
        <v>93916.66666666666</v>
      </c>
      <c r="X30" s="19">
        <f>SUM(X18:X29)</f>
        <v>93916.66666666666</v>
      </c>
      <c r="Y30" s="19">
        <f>SUM(Y18:Y29)</f>
        <v>93916.66666666666</v>
      </c>
      <c r="Z30" s="19">
        <f>SUMIF($B$13:$Y$13,"Yes",B30:Y30)</f>
        <v>2254000</v>
      </c>
      <c r="AA30" s="19">
        <f>SUM(B30:M30)</f>
        <v>1127000</v>
      </c>
      <c r="AB30" s="19">
        <f>SUM(B30:Y30)</f>
        <v>2254000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Mangoes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Mangoes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Mangoes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Mangoes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Mangoes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Mangoes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31177.08333333333</v>
      </c>
      <c r="C74" s="46">
        <f>SUM(Calculations!$Q$14:$Q$16)/12</f>
        <v>31177.08333333333</v>
      </c>
      <c r="D74" s="46">
        <f>SUM(Calculations!$Q$14:$Q$16)/12</f>
        <v>31177.08333333333</v>
      </c>
      <c r="E74" s="46">
        <f>SUM(Calculations!$Q$14:$Q$16)/12</f>
        <v>31177.08333333333</v>
      </c>
      <c r="F74" s="46">
        <f>SUM(Calculations!$Q$14:$Q$16)/12</f>
        <v>31177.08333333333</v>
      </c>
      <c r="G74" s="46">
        <f>SUM(Calculations!$Q$14:$Q$16)/12</f>
        <v>31177.08333333333</v>
      </c>
      <c r="H74" s="46">
        <f>SUM(Calculations!$Q$14:$Q$16)/12</f>
        <v>31177.08333333333</v>
      </c>
      <c r="I74" s="46">
        <f>SUM(Calculations!$Q$14:$Q$16)/12</f>
        <v>31177.08333333333</v>
      </c>
      <c r="J74" s="46">
        <f>SUM(Calculations!$Q$14:$Q$16)/12</f>
        <v>31177.08333333333</v>
      </c>
      <c r="K74" s="46">
        <f>SUM(Calculations!$Q$14:$Q$16)/12</f>
        <v>31177.08333333333</v>
      </c>
      <c r="L74" s="46">
        <f>SUM(Calculations!$Q$14:$Q$16)/12</f>
        <v>31177.08333333333</v>
      </c>
      <c r="M74" s="46">
        <f>SUM(Calculations!$Q$14:$Q$16)/12</f>
        <v>31177.08333333333</v>
      </c>
      <c r="N74" s="46">
        <f>SUM(Calculations!$Q$14:$Q$16)/12</f>
        <v>31177.08333333333</v>
      </c>
      <c r="O74" s="46">
        <f>SUM(Calculations!$Q$14:$Q$16)/12</f>
        <v>31177.08333333333</v>
      </c>
      <c r="P74" s="46">
        <f>SUM(Calculations!$Q$14:$Q$16)/12</f>
        <v>31177.08333333333</v>
      </c>
      <c r="Q74" s="46">
        <f>SUM(Calculations!$Q$14:$Q$16)/12</f>
        <v>31177.08333333333</v>
      </c>
      <c r="R74" s="46">
        <f>SUM(Calculations!$Q$14:$Q$16)/12</f>
        <v>31177.08333333333</v>
      </c>
      <c r="S74" s="46">
        <f>SUM(Calculations!$Q$14:$Q$16)/12</f>
        <v>31177.08333333333</v>
      </c>
      <c r="T74" s="46">
        <f>SUM(Calculations!$Q$14:$Q$16)/12</f>
        <v>31177.08333333333</v>
      </c>
      <c r="U74" s="46">
        <f>SUM(Calculations!$Q$14:$Q$16)/12</f>
        <v>31177.08333333333</v>
      </c>
      <c r="V74" s="46">
        <f>SUM(Calculations!$Q$14:$Q$16)/12</f>
        <v>31177.08333333333</v>
      </c>
      <c r="W74" s="46">
        <f>SUM(Calculations!$Q$14:$Q$16)/12</f>
        <v>31177.08333333333</v>
      </c>
      <c r="X74" s="46">
        <f>SUM(Calculations!$Q$14:$Q$16)/12</f>
        <v>31177.08333333333</v>
      </c>
      <c r="Y74" s="46">
        <f>SUM(Calculations!$Q$14:$Q$16)/12</f>
        <v>31177.08333333333</v>
      </c>
      <c r="Z74" s="46">
        <f>SUMIF($B$13:$Y$13,"Yes",B74:Y74)</f>
        <v>748250.0000000001</v>
      </c>
      <c r="AA74" s="46">
        <f>SUM(B74:M74)</f>
        <v>374124.9999999999</v>
      </c>
      <c r="AB74" s="46">
        <f>SUM(B74:Y74)</f>
        <v>748250.0000000001</v>
      </c>
    </row>
    <row r="75" spans="1:30">
      <c r="A75" s="16" t="s">
        <v>47</v>
      </c>
      <c r="B75" s="46">
        <f>SUM(Calculations!$R$14:$R$16)/12</f>
        <v>2166.666666666667</v>
      </c>
      <c r="C75" s="46">
        <f>SUM(Calculations!$R$14:$R$16)/12</f>
        <v>2166.666666666667</v>
      </c>
      <c r="D75" s="46">
        <f>SUM(Calculations!$R$14:$R$16)/12</f>
        <v>2166.666666666667</v>
      </c>
      <c r="E75" s="46">
        <f>SUM(Calculations!$R$14:$R$16)/12</f>
        <v>2166.666666666667</v>
      </c>
      <c r="F75" s="46">
        <f>SUM(Calculations!$R$14:$R$16)/12</f>
        <v>2166.666666666667</v>
      </c>
      <c r="G75" s="46">
        <f>SUM(Calculations!$R$14:$R$16)/12</f>
        <v>2166.666666666667</v>
      </c>
      <c r="H75" s="46">
        <f>SUM(Calculations!$R$14:$R$16)/12</f>
        <v>2166.666666666667</v>
      </c>
      <c r="I75" s="46">
        <f>SUM(Calculations!$R$14:$R$16)/12</f>
        <v>2166.666666666667</v>
      </c>
      <c r="J75" s="46">
        <f>SUM(Calculations!$R$14:$R$16)/12</f>
        <v>2166.666666666667</v>
      </c>
      <c r="K75" s="46">
        <f>SUM(Calculations!$R$14:$R$16)/12</f>
        <v>2166.666666666667</v>
      </c>
      <c r="L75" s="46">
        <f>SUM(Calculations!$R$14:$R$16)/12</f>
        <v>2166.666666666667</v>
      </c>
      <c r="M75" s="46">
        <f>SUM(Calculations!$R$14:$R$16)/12</f>
        <v>2166.666666666667</v>
      </c>
      <c r="N75" s="46">
        <f>SUM(Calculations!$R$14:$R$16)/12</f>
        <v>2166.666666666667</v>
      </c>
      <c r="O75" s="46">
        <f>SUM(Calculations!$R$14:$R$16)/12</f>
        <v>2166.666666666667</v>
      </c>
      <c r="P75" s="46">
        <f>SUM(Calculations!$R$14:$R$16)/12</f>
        <v>2166.666666666667</v>
      </c>
      <c r="Q75" s="46">
        <f>SUM(Calculations!$R$14:$R$16)/12</f>
        <v>2166.666666666667</v>
      </c>
      <c r="R75" s="46">
        <f>SUM(Calculations!$R$14:$R$16)/12</f>
        <v>2166.666666666667</v>
      </c>
      <c r="S75" s="46">
        <f>SUM(Calculations!$R$14:$R$16)/12</f>
        <v>2166.666666666667</v>
      </c>
      <c r="T75" s="46">
        <f>SUM(Calculations!$R$14:$R$16)/12</f>
        <v>2166.666666666667</v>
      </c>
      <c r="U75" s="46">
        <f>SUM(Calculations!$R$14:$R$16)/12</f>
        <v>2166.666666666667</v>
      </c>
      <c r="V75" s="46">
        <f>SUM(Calculations!$R$14:$R$16)/12</f>
        <v>2166.666666666667</v>
      </c>
      <c r="W75" s="46">
        <f>SUM(Calculations!$R$14:$R$16)/12</f>
        <v>2166.666666666667</v>
      </c>
      <c r="X75" s="46">
        <f>SUM(Calculations!$R$14:$R$16)/12</f>
        <v>2166.666666666667</v>
      </c>
      <c r="Y75" s="46">
        <f>SUM(Calculations!$R$14:$R$16)/12</f>
        <v>2166.666666666667</v>
      </c>
      <c r="Z75" s="46">
        <f>SUMIF($B$13:$Y$13,"Yes",B75:Y75)</f>
        <v>51999.99999999999</v>
      </c>
      <c r="AA75" s="46">
        <f>SUM(B75:M75)</f>
        <v>26000</v>
      </c>
      <c r="AB75" s="46">
        <f>SUM(B75:Y75)</f>
        <v>51999.99999999999</v>
      </c>
    </row>
    <row r="76" spans="1:30">
      <c r="A76" s="16" t="s">
        <v>48</v>
      </c>
      <c r="B76" s="46">
        <f>SUM(Calculations!$S$14:$S$16)/12</f>
        <v>2583.333333333333</v>
      </c>
      <c r="C76" s="46">
        <f>SUM(Calculations!$S$14:$S$16)/12</f>
        <v>2583.333333333333</v>
      </c>
      <c r="D76" s="46">
        <f>SUM(Calculations!$S$14:$S$16)/12</f>
        <v>2583.333333333333</v>
      </c>
      <c r="E76" s="46">
        <f>SUM(Calculations!$S$14:$S$16)/12</f>
        <v>2583.333333333333</v>
      </c>
      <c r="F76" s="46">
        <f>SUM(Calculations!$S$14:$S$16)/12</f>
        <v>2583.333333333333</v>
      </c>
      <c r="G76" s="46">
        <f>SUM(Calculations!$S$14:$S$16)/12</f>
        <v>2583.333333333333</v>
      </c>
      <c r="H76" s="46">
        <f>SUM(Calculations!$S$14:$S$16)/12</f>
        <v>2583.333333333333</v>
      </c>
      <c r="I76" s="46">
        <f>SUM(Calculations!$S$14:$S$16)/12</f>
        <v>2583.333333333333</v>
      </c>
      <c r="J76" s="46">
        <f>SUM(Calculations!$S$14:$S$16)/12</f>
        <v>2583.333333333333</v>
      </c>
      <c r="K76" s="46">
        <f>SUM(Calculations!$S$14:$S$16)/12</f>
        <v>2583.333333333333</v>
      </c>
      <c r="L76" s="46">
        <f>SUM(Calculations!$S$14:$S$16)/12</f>
        <v>2583.333333333333</v>
      </c>
      <c r="M76" s="46">
        <f>SUM(Calculations!$S$14:$S$16)/12</f>
        <v>2583.333333333333</v>
      </c>
      <c r="N76" s="46">
        <f>SUM(Calculations!$S$14:$S$16)/12</f>
        <v>2583.333333333333</v>
      </c>
      <c r="O76" s="46">
        <f>SUM(Calculations!$S$14:$S$16)/12</f>
        <v>2583.333333333333</v>
      </c>
      <c r="P76" s="46">
        <f>SUM(Calculations!$S$14:$S$16)/12</f>
        <v>2583.333333333333</v>
      </c>
      <c r="Q76" s="46">
        <f>SUM(Calculations!$S$14:$S$16)/12</f>
        <v>2583.333333333333</v>
      </c>
      <c r="R76" s="46">
        <f>SUM(Calculations!$S$14:$S$16)/12</f>
        <v>2583.333333333333</v>
      </c>
      <c r="S76" s="46">
        <f>SUM(Calculations!$S$14:$S$16)/12</f>
        <v>2583.333333333333</v>
      </c>
      <c r="T76" s="46">
        <f>SUM(Calculations!$S$14:$S$16)/12</f>
        <v>2583.333333333333</v>
      </c>
      <c r="U76" s="46">
        <f>SUM(Calculations!$S$14:$S$16)/12</f>
        <v>2583.333333333333</v>
      </c>
      <c r="V76" s="46">
        <f>SUM(Calculations!$S$14:$S$16)/12</f>
        <v>2583.333333333333</v>
      </c>
      <c r="W76" s="46">
        <f>SUM(Calculations!$S$14:$S$16)/12</f>
        <v>2583.333333333333</v>
      </c>
      <c r="X76" s="46">
        <f>SUM(Calculations!$S$14:$S$16)/12</f>
        <v>2583.333333333333</v>
      </c>
      <c r="Y76" s="46">
        <f>SUM(Calculations!$S$14:$S$16)/12</f>
        <v>2583.333333333333</v>
      </c>
      <c r="Z76" s="46">
        <f>SUMIF($B$13:$Y$13,"Yes",B76:Y76)</f>
        <v>62000.00000000002</v>
      </c>
      <c r="AA76" s="46">
        <f>SUM(B76:M76)</f>
        <v>31000</v>
      </c>
      <c r="AB76" s="46">
        <f>SUM(B76:Y76)</f>
        <v>62000.00000000002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23195.83333333333</v>
      </c>
      <c r="C81" s="46">
        <f>(SUM($AA$18:$AA$29)-SUM($AA$36,$AA$42,$AA$48,$AA$54,$AA$60,$AA$66,$AA$72:$AA$79))*Parameters!$B$37/12</f>
        <v>23195.83333333333</v>
      </c>
      <c r="D81" s="46">
        <f>(SUM($AA$18:$AA$29)-SUM($AA$36,$AA$42,$AA$48,$AA$54,$AA$60,$AA$66,$AA$72:$AA$79))*Parameters!$B$37/12</f>
        <v>23195.83333333333</v>
      </c>
      <c r="E81" s="46">
        <f>(SUM($AA$18:$AA$29)-SUM($AA$36,$AA$42,$AA$48,$AA$54,$AA$60,$AA$66,$AA$72:$AA$79))*Parameters!$B$37/12</f>
        <v>23195.83333333333</v>
      </c>
      <c r="F81" s="46">
        <f>(SUM($AA$18:$AA$29)-SUM($AA$36,$AA$42,$AA$48,$AA$54,$AA$60,$AA$66,$AA$72:$AA$79))*Parameters!$B$37/12</f>
        <v>23195.83333333333</v>
      </c>
      <c r="G81" s="46">
        <f>(SUM($AA$18:$AA$29)-SUM($AA$36,$AA$42,$AA$48,$AA$54,$AA$60,$AA$66,$AA$72:$AA$79))*Parameters!$B$37/12</f>
        <v>23195.83333333333</v>
      </c>
      <c r="H81" s="46">
        <f>(SUM($AA$18:$AA$29)-SUM($AA$36,$AA$42,$AA$48,$AA$54,$AA$60,$AA$66,$AA$72:$AA$79))*Parameters!$B$37/12</f>
        <v>23195.83333333333</v>
      </c>
      <c r="I81" s="46">
        <f>(SUM($AA$18:$AA$29)-SUM($AA$36,$AA$42,$AA$48,$AA$54,$AA$60,$AA$66,$AA$72:$AA$79))*Parameters!$B$37/12</f>
        <v>23195.83333333333</v>
      </c>
      <c r="J81" s="46">
        <f>(SUM($AA$18:$AA$29)-SUM($AA$36,$AA$42,$AA$48,$AA$54,$AA$60,$AA$66,$AA$72:$AA$79))*Parameters!$B$37/12</f>
        <v>23195.83333333333</v>
      </c>
      <c r="K81" s="46">
        <f>(SUM($AA$18:$AA$29)-SUM($AA$36,$AA$42,$AA$48,$AA$54,$AA$60,$AA$66,$AA$72:$AA$79))*Parameters!$B$37/12</f>
        <v>23195.83333333333</v>
      </c>
      <c r="L81" s="46">
        <f>(SUM($AA$18:$AA$29)-SUM($AA$36,$AA$42,$AA$48,$AA$54,$AA$60,$AA$66,$AA$72:$AA$79))*Parameters!$B$37/12</f>
        <v>23195.83333333333</v>
      </c>
      <c r="M81" s="46">
        <f>(SUM($AA$18:$AA$29)-SUM($AA$36,$AA$42,$AA$48,$AA$54,$AA$60,$AA$66,$AA$72:$AA$79))*Parameters!$B$37/12</f>
        <v>23195.83333333333</v>
      </c>
      <c r="N81" s="46">
        <f>(SUM($AA$18:$AA$29)-SUM($AA$36,$AA$42,$AA$48,$AA$54,$AA$60,$AA$66,$AA$72:$AA$79))*Parameters!$B$37/12</f>
        <v>23195.83333333333</v>
      </c>
      <c r="O81" s="46">
        <f>(SUM($AA$18:$AA$29)-SUM($AA$36,$AA$42,$AA$48,$AA$54,$AA$60,$AA$66,$AA$72:$AA$79))*Parameters!$B$37/12</f>
        <v>23195.83333333333</v>
      </c>
      <c r="P81" s="46">
        <f>(SUM($AA$18:$AA$29)-SUM($AA$36,$AA$42,$AA$48,$AA$54,$AA$60,$AA$66,$AA$72:$AA$79))*Parameters!$B$37/12</f>
        <v>23195.83333333333</v>
      </c>
      <c r="Q81" s="46">
        <f>(SUM($AA$18:$AA$29)-SUM($AA$36,$AA$42,$AA$48,$AA$54,$AA$60,$AA$66,$AA$72:$AA$79))*Parameters!$B$37/12</f>
        <v>23195.83333333333</v>
      </c>
      <c r="R81" s="46">
        <f>(SUM($AA$18:$AA$29)-SUM($AA$36,$AA$42,$AA$48,$AA$54,$AA$60,$AA$66,$AA$72:$AA$79))*Parameters!$B$37/12</f>
        <v>23195.83333333333</v>
      </c>
      <c r="S81" s="46">
        <f>(SUM($AA$18:$AA$29)-SUM($AA$36,$AA$42,$AA$48,$AA$54,$AA$60,$AA$66,$AA$72:$AA$79))*Parameters!$B$37/12</f>
        <v>23195.83333333333</v>
      </c>
      <c r="T81" s="46">
        <f>(SUM($AA$18:$AA$29)-SUM($AA$36,$AA$42,$AA$48,$AA$54,$AA$60,$AA$66,$AA$72:$AA$79))*Parameters!$B$37/12</f>
        <v>23195.83333333333</v>
      </c>
      <c r="U81" s="46">
        <f>(SUM($AA$18:$AA$29)-SUM($AA$36,$AA$42,$AA$48,$AA$54,$AA$60,$AA$66,$AA$72:$AA$79))*Parameters!$B$37/12</f>
        <v>23195.83333333333</v>
      </c>
      <c r="V81" s="46">
        <f>(SUM($AA$18:$AA$29)-SUM($AA$36,$AA$42,$AA$48,$AA$54,$AA$60,$AA$66,$AA$72:$AA$79))*Parameters!$B$37/12</f>
        <v>23195.83333333333</v>
      </c>
      <c r="W81" s="46">
        <f>(SUM($AA$18:$AA$29)-SUM($AA$36,$AA$42,$AA$48,$AA$54,$AA$60,$AA$66,$AA$72:$AA$79))*Parameters!$B$37/12</f>
        <v>23195.83333333333</v>
      </c>
      <c r="X81" s="46">
        <f>(SUM($AA$18:$AA$29)-SUM($AA$36,$AA$42,$AA$48,$AA$54,$AA$60,$AA$66,$AA$72:$AA$79))*Parameters!$B$37/12</f>
        <v>23195.83333333333</v>
      </c>
      <c r="Y81" s="46">
        <f>(SUM($AA$18:$AA$29)-SUM($AA$36,$AA$42,$AA$48,$AA$54,$AA$60,$AA$66,$AA$72:$AA$79))*Parameters!$B$37/12</f>
        <v>23195.83333333333</v>
      </c>
      <c r="Z81" s="46">
        <f>SUMIF($B$13:$Y$13,"Yes",B81:Y81)</f>
        <v>556699.9999999998</v>
      </c>
      <c r="AA81" s="46">
        <f>SUM(B81:M81)</f>
        <v>278349.9999999999</v>
      </c>
      <c r="AB81" s="46">
        <f>SUM(B81:Y81)</f>
        <v>556699.9999999998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59122.91666666666</v>
      </c>
      <c r="C88" s="19">
        <f>SUM(C72:C82,C66,C60,C54,C48,C42,C36)</f>
        <v>59122.91666666666</v>
      </c>
      <c r="D88" s="19">
        <f>SUM(D72:D82,D66,D60,D54,D48,D42,D36)</f>
        <v>59122.91666666666</v>
      </c>
      <c r="E88" s="19">
        <f>SUM(E72:E82,E66,E60,E54,E48,E42,E36)</f>
        <v>59122.91666666666</v>
      </c>
      <c r="F88" s="19">
        <f>SUM(F72:F82,F66,F60,F54,F48,F42,F36)</f>
        <v>59122.91666666666</v>
      </c>
      <c r="G88" s="19">
        <f>SUM(G72:G82,G66,G60,G54,G48,G42,G36)</f>
        <v>59122.91666666666</v>
      </c>
      <c r="H88" s="19">
        <f>SUM(H72:H82,H66,H60,H54,H48,H42,H36)</f>
        <v>59122.91666666666</v>
      </c>
      <c r="I88" s="19">
        <f>SUM(I72:I82,I66,I60,I54,I48,I42,I36)</f>
        <v>59122.91666666666</v>
      </c>
      <c r="J88" s="19">
        <f>SUM(J72:J82,J66,J60,J54,J48,J42,J36)</f>
        <v>59122.91666666666</v>
      </c>
      <c r="K88" s="19">
        <f>SUM(K72:K82,K66,K60,K54,K48,K42,K36)</f>
        <v>59122.91666666666</v>
      </c>
      <c r="L88" s="19">
        <f>SUM(L72:L82,L66,L60,L54,L48,L42,L36)</f>
        <v>59122.91666666666</v>
      </c>
      <c r="M88" s="19">
        <f>SUM(M72:M82,M66,M60,M54,M48,M42,M36)</f>
        <v>59122.91666666666</v>
      </c>
      <c r="N88" s="19">
        <f>SUM(N72:N82,N66,N60,N54,N48,N42,N36)</f>
        <v>59122.91666666666</v>
      </c>
      <c r="O88" s="19">
        <f>SUM(O72:O82,O66,O60,O54,O48,O42,O36)</f>
        <v>59122.91666666666</v>
      </c>
      <c r="P88" s="19">
        <f>SUM(P72:P82,P66,P60,P54,P48,P42,P36)</f>
        <v>59122.91666666666</v>
      </c>
      <c r="Q88" s="19">
        <f>SUM(Q72:Q82,Q66,Q60,Q54,Q48,Q42,Q36)</f>
        <v>59122.91666666666</v>
      </c>
      <c r="R88" s="19">
        <f>SUM(R72:R82,R66,R60,R54,R48,R42,R36)</f>
        <v>59122.91666666666</v>
      </c>
      <c r="S88" s="19">
        <f>SUM(S72:S82,S66,S60,S54,S48,S42,S36)</f>
        <v>59122.91666666666</v>
      </c>
      <c r="T88" s="19">
        <f>SUM(T72:T82,T66,T60,T54,T48,T42,T36)</f>
        <v>59122.91666666666</v>
      </c>
      <c r="U88" s="19">
        <f>SUM(U72:U82,U66,U60,U54,U48,U42,U36)</f>
        <v>59122.91666666666</v>
      </c>
      <c r="V88" s="19">
        <f>SUM(V72:V82,V66,V60,V54,V48,V42,V36)</f>
        <v>59122.91666666666</v>
      </c>
      <c r="W88" s="19">
        <f>SUM(W72:W82,W66,W60,W54,W48,W42,W36)</f>
        <v>59122.91666666666</v>
      </c>
      <c r="X88" s="19">
        <f>SUM(X72:X82,X66,X60,X54,X48,X42,X36)</f>
        <v>59122.91666666666</v>
      </c>
      <c r="Y88" s="19">
        <f>SUM(Y72:Y82,Y66,Y60,Y54,Y48,Y42,Y36)</f>
        <v>59122.91666666666</v>
      </c>
      <c r="Z88" s="19">
        <f>SUMIF($B$13:$Y$13,"Yes",B88:Y88)</f>
        <v>1418950</v>
      </c>
      <c r="AA88" s="19">
        <f>SUM(B88:M88)</f>
        <v>709474.9999999999</v>
      </c>
      <c r="AB88" s="19">
        <f>SUM(B88:Y88)</f>
        <v>1418950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2120000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2120000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2</v>
      </c>
      <c r="P7" s="41"/>
    </row>
    <row r="8" spans="1:48">
      <c r="A8" s="143" t="s">
        <v>89</v>
      </c>
      <c r="B8" s="16"/>
      <c r="C8" s="143">
        <v>2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100</v>
      </c>
      <c r="N8" s="154">
        <v>0</v>
      </c>
    </row>
    <row r="9" spans="1:48">
      <c r="A9" s="143" t="s">
        <v>89</v>
      </c>
      <c r="B9" s="16"/>
      <c r="C9" s="143">
        <v>0</v>
      </c>
      <c r="D9" s="16"/>
      <c r="E9" s="147" t="s">
        <v>95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100</v>
      </c>
      <c r="N9" s="154">
        <v>0</v>
      </c>
    </row>
    <row r="10" spans="1:48">
      <c r="A10" s="143" t="s">
        <v>96</v>
      </c>
      <c r="B10" s="16"/>
      <c r="C10" s="143">
        <v>2</v>
      </c>
      <c r="D10" s="16"/>
      <c r="E10" s="147" t="s">
        <v>90</v>
      </c>
      <c r="F10" s="149" t="s">
        <v>91</v>
      </c>
      <c r="G10" s="147"/>
      <c r="H10" s="147" t="s">
        <v>92</v>
      </c>
      <c r="I10" s="147" t="s">
        <v>93</v>
      </c>
      <c r="J10" s="148" t="s">
        <v>94</v>
      </c>
      <c r="K10" s="138"/>
      <c r="L10" s="16"/>
      <c r="M10" s="165">
        <v>100</v>
      </c>
      <c r="N10" s="154">
        <v>0</v>
      </c>
    </row>
    <row r="11" spans="1:48">
      <c r="A11" s="144" t="s">
        <v>89</v>
      </c>
      <c r="B11" s="23"/>
      <c r="C11" s="144">
        <v>0</v>
      </c>
      <c r="D11" s="23"/>
      <c r="E11" s="150" t="s">
        <v>95</v>
      </c>
      <c r="F11" s="151" t="s">
        <v>91</v>
      </c>
      <c r="G11" s="150"/>
      <c r="H11" s="150" t="s">
        <v>92</v>
      </c>
      <c r="I11" s="150" t="s">
        <v>93</v>
      </c>
      <c r="J11" s="152" t="s">
        <v>94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40</v>
      </c>
      <c r="D19" s="145"/>
      <c r="E19" s="20"/>
      <c r="F19" s="145" t="s">
        <v>92</v>
      </c>
      <c r="G19" s="20"/>
      <c r="H19" s="20"/>
      <c r="I19" s="145" t="s">
        <v>111</v>
      </c>
      <c r="J19" s="145"/>
      <c r="K19" s="145"/>
      <c r="L19" s="25"/>
    </row>
    <row r="20" spans="1:48">
      <c r="A20" s="143" t="s">
        <v>112</v>
      </c>
      <c r="B20" s="16"/>
      <c r="C20" s="143">
        <v>10</v>
      </c>
      <c r="D20" s="147"/>
      <c r="E20" s="16"/>
      <c r="F20" s="147" t="s">
        <v>92</v>
      </c>
      <c r="G20" s="16"/>
      <c r="H20" s="16"/>
      <c r="I20" s="147" t="s">
        <v>111</v>
      </c>
      <c r="J20" s="147"/>
      <c r="K20" s="147"/>
      <c r="L20" s="30"/>
    </row>
    <row r="21" spans="1:48">
      <c r="A21" s="144" t="s">
        <v>113</v>
      </c>
      <c r="B21" s="23"/>
      <c r="C21" s="144">
        <v>0</v>
      </c>
      <c r="D21" s="150">
        <v>0</v>
      </c>
      <c r="E21" s="23"/>
      <c r="F21" s="150" t="s">
        <v>92</v>
      </c>
      <c r="G21" s="23"/>
      <c r="H21" s="23"/>
      <c r="I21" s="150" t="s">
        <v>111</v>
      </c>
      <c r="J21" s="150"/>
      <c r="K21" s="150"/>
      <c r="L21" s="31"/>
    </row>
    <row r="23" spans="1:48">
      <c r="A23" s="3" t="s">
        <v>114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115</v>
      </c>
      <c r="B25" s="177">
        <v>30</v>
      </c>
    </row>
    <row r="27" spans="1:48">
      <c r="A27" s="14" t="s">
        <v>116</v>
      </c>
    </row>
    <row r="29" spans="1:48">
      <c r="A29" s="45" t="s">
        <v>117</v>
      </c>
      <c r="B29" s="156" t="s">
        <v>118</v>
      </c>
    </row>
    <row r="30" spans="1:48">
      <c r="A30" s="44" t="s">
        <v>119</v>
      </c>
      <c r="B30" s="157">
        <v>0</v>
      </c>
    </row>
    <row r="31" spans="1:48">
      <c r="A31" s="5" t="s">
        <v>120</v>
      </c>
      <c r="B31" s="158">
        <v>0</v>
      </c>
    </row>
    <row r="33" spans="1:48">
      <c r="A33" s="14" t="s">
        <v>121</v>
      </c>
    </row>
    <row r="34" spans="1:48">
      <c r="A34" s="10" t="s">
        <v>122</v>
      </c>
      <c r="B34" s="10" t="s">
        <v>123</v>
      </c>
      <c r="C34" s="10" t="s">
        <v>124</v>
      </c>
      <c r="D34" s="48" t="s">
        <v>125</v>
      </c>
    </row>
    <row r="35" spans="1:48">
      <c r="A35" s="142"/>
      <c r="B35" s="159">
        <v>0</v>
      </c>
      <c r="C35" s="145" t="s">
        <v>126</v>
      </c>
      <c r="D35" s="49">
        <f>IFERROR(VLOOKUP(C35,Parameters!$C$79:$D$90,2,0),"")</f>
        <v>12</v>
      </c>
    </row>
    <row r="36" spans="1:48">
      <c r="A36" s="144"/>
      <c r="B36" s="158">
        <v>0</v>
      </c>
      <c r="C36" s="150" t="s">
        <v>126</v>
      </c>
      <c r="D36" s="49">
        <f>IFERROR(VLOOKUP(C36,Parameters!$C$79:$D$90,2,0),"")</f>
        <v>12</v>
      </c>
    </row>
    <row r="38" spans="1:48">
      <c r="A38" s="3" t="s">
        <v>127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128</v>
      </c>
      <c r="B40" s="160" t="s">
        <v>92</v>
      </c>
    </row>
    <row r="41" spans="1:48">
      <c r="A41" s="55" t="s">
        <v>129</v>
      </c>
      <c r="B41" s="140"/>
    </row>
    <row r="42" spans="1:48">
      <c r="A42" s="55" t="s">
        <v>130</v>
      </c>
      <c r="B42" s="139"/>
    </row>
    <row r="43" spans="1:48">
      <c r="A43" s="55" t="s">
        <v>131</v>
      </c>
      <c r="B43" s="160" t="s">
        <v>132</v>
      </c>
    </row>
    <row r="44" spans="1:48">
      <c r="A44" s="56" t="s">
        <v>133</v>
      </c>
      <c r="B44" s="160" t="s">
        <v>92</v>
      </c>
    </row>
    <row r="45" spans="1:48">
      <c r="A45" s="56" t="s">
        <v>134</v>
      </c>
      <c r="B45" s="161">
        <v>0</v>
      </c>
    </row>
    <row r="46" spans="1:48" customHeight="1" ht="30">
      <c r="A46" s="57" t="s">
        <v>135</v>
      </c>
      <c r="B46" s="161">
        <v>0</v>
      </c>
    </row>
    <row r="47" spans="1:48" customHeight="1" ht="30">
      <c r="A47" s="57" t="s">
        <v>136</v>
      </c>
      <c r="B47" s="161">
        <v>0</v>
      </c>
    </row>
    <row r="48" spans="1:48" customHeight="1" ht="30">
      <c r="A48" s="57" t="s">
        <v>137</v>
      </c>
      <c r="B48" s="161">
        <v>0</v>
      </c>
    </row>
    <row r="49" spans="1:48" customHeight="1" ht="30">
      <c r="A49" s="57" t="s">
        <v>138</v>
      </c>
      <c r="B49" s="161">
        <v>0</v>
      </c>
    </row>
    <row r="50" spans="1:48">
      <c r="A50" s="43"/>
      <c r="B50" s="36"/>
    </row>
    <row r="51" spans="1:48">
      <c r="A51" s="58" t="s">
        <v>139</v>
      </c>
      <c r="B51" s="161">
        <v>0</v>
      </c>
    </row>
    <row r="52" spans="1:48">
      <c r="A52" s="43"/>
    </row>
    <row r="53" spans="1:48">
      <c r="A53" s="3" t="s">
        <v>140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141</v>
      </c>
      <c r="B55" s="10" t="s">
        <v>142</v>
      </c>
      <c r="C55" s="10" t="s">
        <v>143</v>
      </c>
      <c r="D55" s="10" t="s">
        <v>144</v>
      </c>
      <c r="E55" s="10" t="s">
        <v>145</v>
      </c>
      <c r="F55" s="10" t="s">
        <v>146</v>
      </c>
    </row>
    <row r="56" spans="1:48">
      <c r="A56" s="159">
        <v>0</v>
      </c>
      <c r="B56" s="159">
        <v>0</v>
      </c>
      <c r="C56" s="162" t="s">
        <v>147</v>
      </c>
      <c r="D56" s="163"/>
      <c r="E56" s="163" t="s">
        <v>92</v>
      </c>
      <c r="F56" s="163"/>
    </row>
    <row r="57" spans="1:48">
      <c r="A57" s="157">
        <v>0</v>
      </c>
      <c r="B57" s="157">
        <v>0</v>
      </c>
      <c r="C57" s="164" t="s">
        <v>147</v>
      </c>
      <c r="D57" s="165"/>
      <c r="E57" s="165" t="s">
        <v>92</v>
      </c>
      <c r="F57" s="165"/>
    </row>
    <row r="58" spans="1:48">
      <c r="A58" s="157">
        <v>0</v>
      </c>
      <c r="B58" s="157">
        <v>0</v>
      </c>
      <c r="C58" s="164" t="s">
        <v>147</v>
      </c>
      <c r="D58" s="165"/>
      <c r="E58" s="165" t="s">
        <v>92</v>
      </c>
      <c r="F58" s="165"/>
    </row>
    <row r="59" spans="1:48">
      <c r="A59" s="157">
        <v>0</v>
      </c>
      <c r="B59" s="157">
        <v>0</v>
      </c>
      <c r="C59" s="164" t="s">
        <v>147</v>
      </c>
      <c r="D59" s="165"/>
      <c r="E59" s="165" t="s">
        <v>92</v>
      </c>
      <c r="F59" s="165"/>
    </row>
    <row r="60" spans="1:48">
      <c r="A60" s="158">
        <v>0</v>
      </c>
      <c r="B60" s="158">
        <v>0</v>
      </c>
      <c r="C60" s="166" t="s">
        <v>147</v>
      </c>
      <c r="D60" s="167"/>
      <c r="E60" s="167" t="s">
        <v>92</v>
      </c>
      <c r="F60" s="167"/>
    </row>
    <row r="63" spans="1:48">
      <c r="A63" s="3" t="s">
        <v>148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125</v>
      </c>
      <c r="B65" s="10" t="s">
        <v>149</v>
      </c>
      <c r="C65" s="10" t="s">
        <v>150</v>
      </c>
    </row>
    <row r="66" spans="1:48">
      <c r="A66" s="142" t="s">
        <v>126</v>
      </c>
      <c r="B66" s="159">
        <v>0</v>
      </c>
      <c r="C66" s="163">
        <v>0</v>
      </c>
      <c r="D66" s="49">
        <f>INDEX(Parameters!$D$79:$D$90,MATCH(Inputs!A66,Parameters!$C$79:$C$90,0))</f>
        <v>12</v>
      </c>
    </row>
    <row r="67" spans="1:48">
      <c r="A67" s="143" t="s">
        <v>126</v>
      </c>
      <c r="B67" s="157">
        <v>0</v>
      </c>
      <c r="C67" s="165">
        <v>0</v>
      </c>
      <c r="D67" s="49">
        <f>INDEX(Parameters!$D$79:$D$90,MATCH(Inputs!A67,Parameters!$C$79:$C$90,0))</f>
        <v>12</v>
      </c>
    </row>
    <row r="68" spans="1:48">
      <c r="A68" s="143" t="s">
        <v>126</v>
      </c>
      <c r="B68" s="157">
        <v>0</v>
      </c>
      <c r="C68" s="165">
        <v>0</v>
      </c>
      <c r="D68" s="49">
        <f>INDEX(Parameters!$D$79:$D$90,MATCH(Inputs!A68,Parameters!$C$79:$C$90,0))</f>
        <v>12</v>
      </c>
    </row>
    <row r="69" spans="1:48">
      <c r="A69" s="143" t="s">
        <v>126</v>
      </c>
      <c r="B69" s="157">
        <v>0</v>
      </c>
      <c r="C69" s="165">
        <v>0</v>
      </c>
      <c r="D69" s="49">
        <f>INDEX(Parameters!$D$79:$D$90,MATCH(Inputs!A69,Parameters!$C$79:$C$90,0))</f>
        <v>12</v>
      </c>
    </row>
    <row r="70" spans="1:48">
      <c r="A70" s="143" t="s">
        <v>126</v>
      </c>
      <c r="B70" s="157">
        <v>0</v>
      </c>
      <c r="C70" s="165">
        <v>0</v>
      </c>
      <c r="D70" s="49">
        <f>INDEX(Parameters!$D$79:$D$90,MATCH(Inputs!A70,Parameters!$C$79:$C$90,0))</f>
        <v>12</v>
      </c>
    </row>
    <row r="71" spans="1:48">
      <c r="A71" s="144" t="s">
        <v>126</v>
      </c>
      <c r="B71" s="158">
        <v>0</v>
      </c>
      <c r="C71" s="167">
        <v>0</v>
      </c>
      <c r="D71" s="49">
        <f>INDEX(Parameters!$D$79:$D$90,MATCH(Inputs!A71,Parameters!$C$79:$C$90,0))</f>
        <v>12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26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300000</v>
      </c>
    </row>
    <row r="82" spans="1:48">
      <c r="A82" t="s">
        <v>160</v>
      </c>
      <c r="B82" s="161">
        <v>20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24</v>
      </c>
    </row>
    <row r="86" spans="1:48">
      <c r="A86" t="s">
        <v>165</v>
      </c>
      <c r="B86" s="161">
        <v>6</v>
      </c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2</v>
      </c>
      <c r="I5" s="138" t="str">
        <f>IFERROR(VLOOKUP(Inputs!E8,Parameters!$J$77:$K$81,2,0),"")</f>
        <v>No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4000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Mangoes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2</v>
      </c>
      <c r="I7" s="138" t="str">
        <f>IFERROR(VLOOKUP(Inputs!E10,Parameters!$J$77:$K$81,2,0),"")</f>
        <v>No</v>
      </c>
      <c r="J7" s="27">
        <f>IFERROR(Inputs!G10/Calculations!H7,"")</f>
        <v>0</v>
      </c>
      <c r="K7" s="27">
        <f>IFERROR(INDEX(Parameters!$A$3:$V$17,MATCH(Calculations!$A7,Parameters!$A$3:$A$17,0),MATCH(Parameters!$I$3,Parameters!$A$3:$V$3,0)),0)</f>
        <v>3500</v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3835.813921798289</v>
      </c>
      <c r="M7" s="30">
        <f>L7*H7</f>
        <v>7671.627843596578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4.199999999999999</v>
      </c>
      <c r="P7" s="22">
        <f>IFERROR(INDEX(Parameters!$A$3:$V$17,MATCH(Calculations!$A7,Parameters!$A$3:$A$17,0),MATCH($P$3,Parameters!$A$3:$V$3,0)),0)</f>
        <v>0</v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>2</v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>N/A</v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4000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9000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>
        <f>H7*IFERROR(INDEX(Parameters!$A$3:$AI$17,MATCH(Calculations!A7,Parameters!$A$3:$A$17,0),MATCH(Parameters!$O$3,Parameters!$A$3:$AI$3,0)),AVERAGE(Parameters!$O$4:$O$17))*(1-Inputs!$B$25/100)</f>
        <v>11200</v>
      </c>
      <c r="AC7" s="22">
        <f>IF($A7=0,1/12,IFERROR(INDEX(Parameters!$X$2:$AI$17,MATCH(Calculations!$A7,Parameters!$A$2:$A$17,0),MONTH(Calculations!AC$3)),1/12))</f>
        <v>0.2290076335877863</v>
      </c>
      <c r="AD7" s="22">
        <f>IF($A7=0,1/12,IFERROR(INDEX(Parameters!$X$2:$AI$17,MATCH(Calculations!$A7,Parameters!$A$2:$A$17,0),MONTH(Calculations!AD$3)),1/12))</f>
        <v>0.1374045801526718</v>
      </c>
      <c r="AE7" s="22">
        <f>IF($A7=0,1/12,IFERROR(INDEX(Parameters!$X$2:$AI$17,MATCH(Calculations!$A7,Parameters!$A$2:$A$17,0),MONTH(Calculations!AE$3)),1/12))</f>
        <v>0.03816793893129772</v>
      </c>
      <c r="AF7" s="22">
        <f>IF($A7=0,1/12,IFERROR(INDEX(Parameters!$X$2:$AI$17,MATCH(Calculations!$A7,Parameters!$A$2:$A$17,0),MONTH(Calculations!AF$3)),1/12))</f>
        <v>0.007633587786259543</v>
      </c>
      <c r="AG7" s="22">
        <f>IF($A7=0,1/12,IFERROR(INDEX(Parameters!$X$2:$AI$17,MATCH(Calculations!$A7,Parameters!$A$2:$A$17,0),MONTH(Calculations!AG$3)),1/12))</f>
        <v>0.007633587786259543</v>
      </c>
      <c r="AH7" s="22">
        <f>IF($A7=0,1/12,IFERROR(INDEX(Parameters!$X$2:$AI$17,MATCH(Calculations!$A7,Parameters!$A$2:$A$17,0),MONTH(Calculations!AH$3)),1/12))</f>
        <v>0.007633587786259543</v>
      </c>
      <c r="AI7" s="22">
        <f>IF($A7=0,1/12,IFERROR(INDEX(Parameters!$X$2:$AI$17,MATCH(Calculations!$A7,Parameters!$A$2:$A$17,0),MONTH(Calculations!AI$3)),1/12))</f>
        <v>0.007633587786259543</v>
      </c>
      <c r="AJ7" s="22">
        <f>IF($A7=0,1/12,IFERROR(INDEX(Parameters!$X$2:$AI$17,MATCH(Calculations!$A7,Parameters!$A$2:$A$17,0),MONTH(Calculations!AJ$3)),1/12))</f>
        <v>0.03053435114503817</v>
      </c>
      <c r="AK7" s="22">
        <f>IF($A7=0,1/12,IFERROR(INDEX(Parameters!$X$2:$AI$17,MATCH(Calculations!$A7,Parameters!$A$2:$A$17,0),MONTH(Calculations!AK$3)),1/12))</f>
        <v>0.04580152671755726</v>
      </c>
      <c r="AL7" s="22">
        <f>IF($A7=0,1/12,IFERROR(INDEX(Parameters!$X$2:$AI$17,MATCH(Calculations!$A7,Parameters!$A$2:$A$17,0),MONTH(Calculations!AL$3)),1/12))</f>
        <v>0.07633587786259544</v>
      </c>
      <c r="AM7" s="22">
        <f>IF($A7=0,1/12,IFERROR(INDEX(Parameters!$X$2:$AI$17,MATCH(Calculations!$A7,Parameters!$A$2:$A$17,0),MONTH(Calculations!AM$3)),1/12))</f>
        <v>0.183206106870229</v>
      </c>
      <c r="AN7" s="22">
        <f>IF($A7=0,1/12,IFERROR(INDEX(Parameters!$X$2:$AI$17,MATCH(Calculations!$A7,Parameters!$A$2:$A$17,0),MONTH(Calculations!AN$3)),1/12))</f>
        <v>0.2290076335877863</v>
      </c>
      <c r="AO7" s="22">
        <f>IF($A7=0,1/12,IFERROR(INDEX(Parameters!$X$2:$AI$17,MATCH(Calculations!$A7,Parameters!$A$2:$A$17,0),MONTH(Calculations!AO$3)),1/12))</f>
        <v>0.2290076335877863</v>
      </c>
      <c r="AP7" s="22">
        <f>IF($A7=0,1/12,IFERROR(INDEX(Parameters!$X$2:$AI$17,MATCH(Calculations!$A7,Parameters!$A$2:$A$17,0),MONTH(Calculations!AP$3)),1/12))</f>
        <v>0.1374045801526718</v>
      </c>
      <c r="AQ7" s="22">
        <f>IF($A7=0,1/12,IFERROR(INDEX(Parameters!$X$2:$AI$17,MATCH(Calculations!$A7,Parameters!$A$2:$A$17,0),MONTH(Calculations!AQ$3)),1/12))</f>
        <v>0.03816793893129772</v>
      </c>
      <c r="AR7" s="22">
        <f>IF($A7=0,1/12,IFERROR(INDEX(Parameters!$X$2:$AI$17,MATCH(Calculations!$A7,Parameters!$A$2:$A$17,0),MONTH(Calculations!AR$3)),1/12))</f>
        <v>0.007633587786259543</v>
      </c>
      <c r="AS7" s="22">
        <f>IF($A7=0,1/12,IFERROR(INDEX(Parameters!$X$2:$AI$17,MATCH(Calculations!$A7,Parameters!$A$2:$A$17,0),MONTH(Calculations!AS$3)),1/12))</f>
        <v>0.007633587786259543</v>
      </c>
      <c r="AT7" s="22">
        <f>IF($A7=0,1/12,IFERROR(INDEX(Parameters!$X$2:$AI$17,MATCH(Calculations!$A7,Parameters!$A$2:$A$17,0),MONTH(Calculations!AT$3)),1/12))</f>
        <v>0.007633587786259543</v>
      </c>
      <c r="AU7" s="22">
        <f>IF($A7=0,1/12,IFERROR(INDEX(Parameters!$X$2:$AI$17,MATCH(Calculations!$A7,Parameters!$A$2:$A$17,0),MONTH(Calculations!AU$3)),1/12))</f>
        <v>0.007633587786259543</v>
      </c>
      <c r="AV7" s="22">
        <f>IF($A7=0,1/12,IFERROR(INDEX(Parameters!$X$2:$AI$17,MATCH(Calculations!$A7,Parameters!$A$2:$A$17,0),MONTH(Calculations!AV$3)),1/12))</f>
        <v>0.03053435114503817</v>
      </c>
      <c r="AW7" s="22">
        <f>IF($A7=0,1/12,IFERROR(INDEX(Parameters!$X$2:$AI$17,MATCH(Calculations!$A7,Parameters!$A$2:$A$17,0),MONTH(Calculations!AW$3)),1/12))</f>
        <v>0.04580152671755726</v>
      </c>
      <c r="AX7" s="22">
        <f>IF($A7=0,1/12,IFERROR(INDEX(Parameters!$X$2:$AI$17,MATCH(Calculations!$A7,Parameters!$A$2:$A$17,0),MONTH(Calculations!AX$3)),1/12))</f>
        <v>0.07633587786259544</v>
      </c>
      <c r="AY7" s="22">
        <f>IF($A7=0,1/12,IFERROR(INDEX(Parameters!$X$2:$AI$17,MATCH(Calculations!$A7,Parameters!$A$2:$A$17,0),MONTH(Calculations!AY$3)),1/12))</f>
        <v>0.183206106870229</v>
      </c>
      <c r="AZ7" s="22">
        <f>IF($A7=0,1/12,IFERROR(INDEX(Parameters!$X$2:$AI$17,MATCH(Calculations!$A7,Parameters!$A$2:$A$17,0),MONTH(Calculations!AZ$3)),1/12))</f>
        <v>0.2290076335877863</v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40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3.6</v>
      </c>
      <c r="H14" s="121">
        <f>IFERROR(IF(B14="meat",INDEX(Parameters!$A$22:$P$29,MATCH(Calculations!A14,Parameters!$A$22:$A$29,0),MATCH(Parameters!$I$22,Parameters!$A$22:$P$22,0))*G14,""),"")</f>
        <v>359.9999999999999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1104000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365000</v>
      </c>
      <c r="R14" s="63">
        <f>IFERROR(D14*INDEX(Parameters!$A$22:$P$29,MATCH(Calculations!$A14,Parameters!$A$22:$A$29,0),MATCH(Parameters!$M$22,Parameters!$A$22:$P$22,0)),"")</f>
        <v>24000</v>
      </c>
      <c r="S14" s="63">
        <f>IFERROR(D14*INDEX(Parameters!$A$22:$P$29,MATCH(Calculations!$A14,Parameters!$A$22:$A$29,0),MATCH(Parameters!$N$22,Parameters!$A$22:$P$22,0)),"")</f>
        <v>28000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10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2.3</v>
      </c>
      <c r="H15" s="121">
        <f>IFERROR(IF(B15="meat",INDEX(Parameters!$A$22:$P$29,MATCH(Calculations!A15,Parameters!$A$22:$A$29,0),MATCH(Parameters!$I$22,Parameters!$A$22:$P$22,0))*G15,""),"")</f>
        <v>18.4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12000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23000</v>
      </c>
      <c r="Q15" s="64">
        <f>IFERROR(D15*INDEX(Parameters!$A$22:$P$29,MATCH(Calculations!$A15,Parameters!$A$22:$A$29,0),MATCH(Parameters!$L$22,Parameters!$A$22:$P$22,0))*IF(Inputs!I20="Always",1,IF(Inputs!I20="Sometimes",0.5,0))*365,"")</f>
        <v>9125</v>
      </c>
      <c r="R15" s="64">
        <f>IFERROR(D15*INDEX(Parameters!$A$22:$P$29,MATCH(Calculations!$A15,Parameters!$A$22:$A$29,0),MATCH(Parameters!$M$22,Parameters!$A$22:$P$22,0)),"")</f>
        <v>2000</v>
      </c>
      <c r="S15" s="64">
        <f>IFERROR(D15*INDEX(Parameters!$A$22:$P$29,MATCH(Calculations!$A15,Parameters!$A$22:$A$29,0),MATCH(Parameters!$N$22,Parameters!$A$22:$P$22,0)),"")</f>
        <v>3000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43678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141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52">
      <c r="A23" s="75">
        <f>Inputs!A56</f>
        <v>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43167</v>
      </c>
      <c r="C33" s="27">
        <f>IF(B33&lt;&gt;"",IF(COUNT($A$33:A33)&lt;=$G$39,0,$G$41)+IF(COUNT($A$33:A33)&lt;=$G$40,0,$G$42),0)</f>
        <v>5000</v>
      </c>
      <c r="D33" s="170">
        <f>IFERROR(DATE(YEAR(B33),MONTH(B33),1)," ")</f>
        <v>43160</v>
      </c>
      <c r="F33" t="s">
        <v>156</v>
      </c>
      <c r="G33" s="128">
        <f>IF(Inputs!B79="","",DATE(YEAR(Inputs!B79),MONTH(Inputs!B79),DAY(Inputs!B79)))</f>
        <v>43139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43198</v>
      </c>
      <c r="C34" s="27">
        <f>IF(B34&lt;&gt;"",IF(COUNT($A$33:A34)&lt;=$G$39,0,$G$41)+IF(COUNT($A$33:A34)&lt;=$G$40,0,$G$42),0)</f>
        <v>5000</v>
      </c>
      <c r="D34" s="170">
        <f>IFERROR(DATE(YEAR(B34),MONTH(B34),1)," ")</f>
        <v>43191</v>
      </c>
      <c r="F34" t="s">
        <v>157</v>
      </c>
      <c r="G34" s="128">
        <f>IF(Inputs!B80="","",DATE(YEAR(Inputs!B80),MONTH(Inputs!B80),DAY(Inputs!B80)))</f>
        <v>43167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43228</v>
      </c>
      <c r="C35" s="27">
        <f>IF(B35&lt;&gt;"",IF(COUNT($A$33:A35)&lt;=$G$39,0,$G$41)+IF(COUNT($A$33:A35)&lt;=$G$40,0,$G$42),0)</f>
        <v>5000</v>
      </c>
      <c r="D35" s="170">
        <f>IFERROR(DATE(YEAR(B35),MONTH(B35),1)," ")</f>
        <v>43221</v>
      </c>
      <c r="F35" t="s">
        <v>159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43259</v>
      </c>
      <c r="C36" s="27">
        <f>IF(B36&lt;&gt;"",IF(COUNT($A$33:A36)&lt;=$G$39,0,$G$41)+IF(COUNT($A$33:A36)&lt;=$G$40,0,$G$42),0)</f>
        <v>5000</v>
      </c>
      <c r="D36" s="170">
        <f>IFERROR(DATE(YEAR(B36),MONTH(B36),1)," ")</f>
        <v>43252</v>
      </c>
      <c r="F36" t="s">
        <v>160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43289</v>
      </c>
      <c r="C37" s="27">
        <f>IF(B37&lt;&gt;"",IF(COUNT($A$33:A37)&lt;=$G$39,0,$G$41)+IF(COUNT($A$33:A37)&lt;=$G$40,0,$G$42),0)</f>
        <v>5000</v>
      </c>
      <c r="D37" s="170">
        <f>IFERROR(DATE(YEAR(B37),MONTH(B37),1)," ")</f>
        <v>43282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43320</v>
      </c>
      <c r="C38" s="27">
        <f>IF(B38&lt;&gt;"",IF(COUNT($A$33:A38)&lt;=$G$39,0,$G$41)+IF(COUNT($A$33:A38)&lt;=$G$40,0,$G$42),0)</f>
        <v>5000</v>
      </c>
      <c r="D38" s="170">
        <f>IFERROR(DATE(YEAR(B38),MONTH(B38),1)," ")</f>
        <v>43313</v>
      </c>
      <c r="F38" t="s">
        <v>222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43351</v>
      </c>
      <c r="C39" s="27">
        <f>IF(B39&lt;&gt;"",IF(COUNT($A$33:A39)&lt;=$G$39,0,$G$41)+IF(COUNT($A$33:A39)&lt;=$G$40,0,$G$42),0)</f>
        <v>21666.66666666667</v>
      </c>
      <c r="D39" s="170">
        <f>IFERROR(DATE(YEAR(B39),MONTH(B39),1)," ")</f>
        <v>43344</v>
      </c>
      <c r="F39" t="s">
        <v>165</v>
      </c>
      <c r="G39" s="27">
        <f>IF(Inputs!B86="",0,Inputs!B86)</f>
        <v>6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43381</v>
      </c>
      <c r="C40" s="27">
        <f>IF(B40&lt;&gt;"",IF(COUNT($A$33:A40)&lt;=$G$39,0,$G$41)+IF(COUNT($A$33:A40)&lt;=$G$40,0,$G$42),0)</f>
        <v>21666.66666666667</v>
      </c>
      <c r="D40" s="170">
        <f>IFERROR(DATE(YEAR(B40),MONTH(B40),1)," ")</f>
        <v>43374</v>
      </c>
      <c r="F40" t="s">
        <v>166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43412</v>
      </c>
      <c r="C41" s="27">
        <f>IF(B41&lt;&gt;"",IF(COUNT($A$33:A41)&lt;=$G$39,0,$G$41)+IF(COUNT($A$33:A41)&lt;=$G$40,0,$G$42),0)</f>
        <v>21666.66666666667</v>
      </c>
      <c r="D41" s="170">
        <f>IFERROR(DATE(YEAR(B41),MONTH(B41),1)," ")</f>
        <v>43405</v>
      </c>
      <c r="F41" t="s">
        <v>223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43442</v>
      </c>
      <c r="C42" s="27">
        <f>IF(B42&lt;&gt;"",IF(COUNT($A$33:A42)&lt;=$G$39,0,$G$41)+IF(COUNT($A$33:A42)&lt;=$G$40,0,$G$42),0)</f>
        <v>21666.66666666667</v>
      </c>
      <c r="D42" s="170">
        <f>IFERROR(DATE(YEAR(B42),MONTH(B42),1)," ")</f>
        <v>43435</v>
      </c>
      <c r="F42" t="s">
        <v>224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43473</v>
      </c>
      <c r="C43" s="27">
        <f>IF(B43&lt;&gt;"",IF(COUNT($A$33:A43)&lt;=$G$39,0,$G$41)+IF(COUNT($A$33:A43)&lt;=$G$40,0,$G$42),0)</f>
        <v>21666.66666666667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43504</v>
      </c>
      <c r="C44" s="27">
        <f>IF(B44&lt;&gt;"",IF(COUNT($A$33:A44)&lt;=$G$39,0,$G$41)+IF(COUNT($A$33:A44)&lt;=$G$40,0,$G$42),0)</f>
        <v>21666.66666666667</v>
      </c>
      <c r="D44" s="170">
        <f>IFERROR(DATE(YEAR(B44),MONTH(B44),1)," ")</f>
        <v>43497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43532</v>
      </c>
      <c r="C45" s="27">
        <f>IF(B45&lt;&gt;"",IF(COUNT($A$33:A45)&lt;=$G$39,0,$G$41)+IF(COUNT($A$33:A45)&lt;=$G$40,0,$G$42),0)</f>
        <v>21666.66666666667</v>
      </c>
      <c r="D45" s="170">
        <f>IFERROR(DATE(YEAR(B45),MONTH(B45),1)," ")</f>
        <v>43525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43563</v>
      </c>
      <c r="C46" s="27">
        <f>IF(B46&lt;&gt;"",IF(COUNT($A$33:A46)&lt;=$G$39,0,$G$41)+IF(COUNT($A$33:A46)&lt;=$G$40,0,$G$42),0)</f>
        <v>21666.66666666667</v>
      </c>
      <c r="D46" s="170">
        <f>IFERROR(DATE(YEAR(B46),MONTH(B46),1)," ")</f>
        <v>43556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43593</v>
      </c>
      <c r="C47" s="27">
        <f>IF(B47&lt;&gt;"",IF(COUNT($A$33:A47)&lt;=$G$39,0,$G$41)+IF(COUNT($A$33:A47)&lt;=$G$40,0,$G$42),0)</f>
        <v>21666.66666666667</v>
      </c>
      <c r="D47" s="170">
        <f>IFERROR(DATE(YEAR(B47),MONTH(B47),1)," ")</f>
        <v>43586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43624</v>
      </c>
      <c r="C48" s="27">
        <f>IF(B48&lt;&gt;"",IF(COUNT($A$33:A48)&lt;=$G$39,0,$G$41)+IF(COUNT($A$33:A48)&lt;=$G$40,0,$G$42),0)</f>
        <v>21666.66666666667</v>
      </c>
      <c r="D48" s="170">
        <f>IFERROR(DATE(YEAR(B48),MONTH(B48),1)," ")</f>
        <v>43617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43654</v>
      </c>
      <c r="C49" s="27">
        <f>IF(B49&lt;&gt;"",IF(COUNT($A$33:A49)&lt;=$G$39,0,$G$41)+IF(COUNT($A$33:A49)&lt;=$G$40,0,$G$42),0)</f>
        <v>21666.66666666667</v>
      </c>
      <c r="D49" s="170">
        <f>IFERROR(DATE(YEAR(B49),MONTH(B49),1)," ")</f>
        <v>43647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43685</v>
      </c>
      <c r="C50" s="27">
        <f>IF(B50&lt;&gt;"",IF(COUNT($A$33:A50)&lt;=$G$39,0,$G$41)+IF(COUNT($A$33:A50)&lt;=$G$40,0,$G$42),0)</f>
        <v>21666.66666666667</v>
      </c>
      <c r="D50" s="170">
        <f>IFERROR(DATE(YEAR(B50),MONTH(B50),1)," ")</f>
        <v>43678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43716</v>
      </c>
      <c r="C51" s="27">
        <f>IF(B51&lt;&gt;"",IF(COUNT($A$33:A51)&lt;=$G$39,0,$G$41)+IF(COUNT($A$33:A51)&lt;=$G$40,0,$G$42),0)</f>
        <v>21666.66666666667</v>
      </c>
      <c r="D51" s="170">
        <f>IFERROR(DATE(YEAR(B51),MONTH(B51),1)," ")</f>
        <v>43709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43746</v>
      </c>
      <c r="C52" s="27">
        <f>IF(B52&lt;&gt;"",IF(COUNT($A$33:A52)&lt;=$G$39,0,$G$41)+IF(COUNT($A$33:A52)&lt;=$G$40,0,$G$42),0)</f>
        <v>21666.66666666667</v>
      </c>
      <c r="D52" s="170">
        <f>IFERROR(DATE(YEAR(B52),MONTH(B52),1)," ")</f>
        <v>43739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43777</v>
      </c>
      <c r="C53" s="27">
        <f>IF(B53&lt;&gt;"",IF(COUNT($A$33:A53)&lt;=$G$39,0,$G$41)+IF(COUNT($A$33:A53)&lt;=$G$40,0,$G$42),0)</f>
        <v>21666.66666666667</v>
      </c>
      <c r="D53" s="170">
        <f>IFERROR(DATE(YEAR(B53),MONTH(B53),1)," ")</f>
        <v>43770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43807</v>
      </c>
      <c r="C54" s="27">
        <f>IF(B54&lt;&gt;"",IF(COUNT($A$33:A54)&lt;=$G$39,0,$G$41)+IF(COUNT($A$33:A54)&lt;=$G$40,0,$G$42),0)</f>
        <v>21666.66666666667</v>
      </c>
      <c r="D54" s="170">
        <f>IFERROR(DATE(YEAR(B54),MONTH(B54),1)," ")</f>
        <v>43800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43838</v>
      </c>
      <c r="C55" s="27">
        <f>IF(B55&lt;&gt;"",IF(COUNT($A$33:A55)&lt;=$G$39,0,$G$41)+IF(COUNT($A$33:A55)&lt;=$G$40,0,$G$42),0)</f>
        <v>21666.66666666667</v>
      </c>
      <c r="D55" s="170">
        <f>IFERROR(DATE(YEAR(B55),MONTH(B55),1)," ")</f>
        <v>43831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43869</v>
      </c>
      <c r="C56" s="27">
        <f>IF(B56&lt;&gt;"",IF(COUNT($A$33:A56)&lt;=$G$39,0,$G$41)+IF(COUNT($A$33:A56)&lt;=$G$40,0,$G$42),0)</f>
        <v>21666.66666666667</v>
      </c>
      <c r="D56" s="170">
        <f>IFERROR(DATE(YEAR(B56),MONTH(B56),1)," ")</f>
        <v>43862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96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197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113</v>
      </c>
      <c r="B24" s="21" t="s">
        <v>291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292</v>
      </c>
      <c r="B25" s="16" t="s">
        <v>293</v>
      </c>
      <c r="C25" s="30" t="s">
        <v>294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110</v>
      </c>
      <c r="B26" s="16" t="s">
        <v>291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112</v>
      </c>
      <c r="B27" s="71" t="s">
        <v>291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295</v>
      </c>
      <c r="B28" s="71" t="s">
        <v>291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296</v>
      </c>
      <c r="B29" s="118" t="s">
        <v>291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297</v>
      </c>
      <c r="B30" s="70" t="s">
        <v>291</v>
      </c>
    </row>
    <row r="31" spans="1:36">
      <c r="H31" s="86"/>
      <c r="I31" s="86"/>
      <c r="AI31" s="12"/>
    </row>
    <row r="32" spans="1:36">
      <c r="A32" s="3" t="s">
        <v>298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299</v>
      </c>
      <c r="B34" s="11" t="s">
        <v>300</v>
      </c>
    </row>
    <row r="35" spans="1:36">
      <c r="A35" t="s">
        <v>301</v>
      </c>
      <c r="B35" s="72">
        <v>60</v>
      </c>
      <c r="C35" s="86"/>
    </row>
    <row r="36" spans="1:36">
      <c r="A36" t="s">
        <v>302</v>
      </c>
      <c r="B36" s="72">
        <v>2000</v>
      </c>
      <c r="C36" s="86"/>
    </row>
    <row r="37" spans="1:36">
      <c r="A37" t="s">
        <v>303</v>
      </c>
      <c r="B37" s="2">
        <v>0.4</v>
      </c>
    </row>
    <row r="39" spans="1:36">
      <c r="A39" s="3" t="s">
        <v>304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305</v>
      </c>
      <c r="C40" s="193"/>
    </row>
    <row r="41" spans="1:36">
      <c r="A41" s="5" t="s">
        <v>98</v>
      </c>
      <c r="B41" s="191" t="s">
        <v>306</v>
      </c>
      <c r="C41" s="191" t="s">
        <v>92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113</v>
      </c>
      <c r="B43" s="72">
        <v>450</v>
      </c>
      <c r="C43" s="72">
        <v>250</v>
      </c>
    </row>
    <row r="44" spans="1:36">
      <c r="A44" t="s">
        <v>292</v>
      </c>
      <c r="B44" s="72">
        <v>50000</v>
      </c>
      <c r="C44" s="72">
        <v>200000</v>
      </c>
    </row>
    <row r="45" spans="1:36">
      <c r="A45" t="s">
        <v>110</v>
      </c>
      <c r="B45" s="72">
        <v>25000</v>
      </c>
      <c r="C45" s="72">
        <v>50000</v>
      </c>
    </row>
    <row r="46" spans="1:36">
      <c r="A46" t="s">
        <v>112</v>
      </c>
      <c r="B46" s="72">
        <v>6000</v>
      </c>
      <c r="C46" s="72">
        <v>12000</v>
      </c>
    </row>
    <row r="47" spans="1:36">
      <c r="A47" t="s">
        <v>295</v>
      </c>
      <c r="B47" s="72">
        <v>4500</v>
      </c>
      <c r="C47" s="72">
        <v>12000</v>
      </c>
    </row>
    <row r="48" spans="1:36">
      <c r="A48" t="s">
        <v>296</v>
      </c>
      <c r="B48" s="72">
        <v>20000</v>
      </c>
      <c r="C48" s="72">
        <v>20000</v>
      </c>
      <c r="D48" s="72"/>
    </row>
    <row r="50" spans="1:36">
      <c r="A50" s="3" t="s">
        <v>307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308</v>
      </c>
      <c r="H52" s="12" t="s">
        <v>309</v>
      </c>
      <c r="I52" s="12" t="s">
        <v>132</v>
      </c>
      <c r="AJ52" s="12"/>
    </row>
    <row r="53" spans="1:36" customHeight="1" ht="30">
      <c r="A53" s="11" t="s">
        <v>310</v>
      </c>
      <c r="B53" s="11" t="s">
        <v>311</v>
      </c>
      <c r="C53" s="11" t="s">
        <v>312</v>
      </c>
      <c r="D53" s="10" t="s">
        <v>225</v>
      </c>
      <c r="E53" s="10" t="s">
        <v>184</v>
      </c>
      <c r="F53" s="10" t="s">
        <v>244</v>
      </c>
      <c r="G53" s="10" t="s">
        <v>313</v>
      </c>
      <c r="H53" s="10" t="s">
        <v>314</v>
      </c>
      <c r="I53" s="10" t="s">
        <v>314</v>
      </c>
      <c r="AJ53" s="12"/>
    </row>
    <row r="54" spans="1:36">
      <c r="A54">
        <v>8</v>
      </c>
      <c r="B54" s="12" t="s">
        <v>315</v>
      </c>
      <c r="C54" s="12" t="s">
        <v>316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317</v>
      </c>
      <c r="C55" s="12" t="s">
        <v>316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318</v>
      </c>
      <c r="C56" s="116" t="s">
        <v>319</v>
      </c>
      <c r="D56" s="189">
        <v>930</v>
      </c>
      <c r="E56" s="189">
        <v>1</v>
      </c>
      <c r="F56" s="189">
        <v>6</v>
      </c>
      <c r="G56" s="72" t="s">
        <v>306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320</v>
      </c>
      <c r="C57" s="116" t="s">
        <v>316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321</v>
      </c>
      <c r="C58" s="116" t="s">
        <v>316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322</v>
      </c>
      <c r="C59" s="116" t="s">
        <v>319</v>
      </c>
      <c r="D59" s="189">
        <v>465</v>
      </c>
      <c r="E59" s="189">
        <v>2</v>
      </c>
      <c r="F59" s="189">
        <v>4</v>
      </c>
      <c r="G59" s="72" t="s">
        <v>306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323</v>
      </c>
      <c r="C60" s="116" t="s">
        <v>319</v>
      </c>
      <c r="D60" s="189">
        <v>465</v>
      </c>
      <c r="E60" s="189">
        <v>1</v>
      </c>
      <c r="F60" s="189">
        <v>5</v>
      </c>
      <c r="G60" s="72" t="s">
        <v>306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324</v>
      </c>
      <c r="C61" s="116" t="s">
        <v>319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325</v>
      </c>
      <c r="C62" s="116" t="s">
        <v>319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326</v>
      </c>
      <c r="C63" s="116" t="s">
        <v>319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327</v>
      </c>
      <c r="C64" s="116" t="s">
        <v>319</v>
      </c>
      <c r="D64" s="189">
        <v>930</v>
      </c>
      <c r="E64" s="189">
        <v>1</v>
      </c>
      <c r="F64" s="189">
        <v>6</v>
      </c>
      <c r="G64" s="72" t="s">
        <v>306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328</v>
      </c>
      <c r="C65" s="12" t="s">
        <v>319</v>
      </c>
      <c r="D65" s="89">
        <v>465</v>
      </c>
      <c r="E65" s="89">
        <v>2</v>
      </c>
      <c r="F65" s="89">
        <v>4</v>
      </c>
      <c r="G65" s="7" t="s">
        <v>306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329</v>
      </c>
      <c r="C66" s="12" t="s">
        <v>319</v>
      </c>
      <c r="D66" s="89">
        <v>465</v>
      </c>
      <c r="E66" s="89">
        <v>2</v>
      </c>
      <c r="F66" s="89">
        <v>4</v>
      </c>
      <c r="G66" s="7" t="s">
        <v>306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330</v>
      </c>
      <c r="C67" s="12" t="s">
        <v>319</v>
      </c>
      <c r="D67" s="89">
        <v>930</v>
      </c>
      <c r="E67" s="89">
        <v>1</v>
      </c>
      <c r="F67" s="89">
        <v>6</v>
      </c>
      <c r="G67" s="7" t="s">
        <v>306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331</v>
      </c>
      <c r="C68" s="12" t="s">
        <v>319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332</v>
      </c>
      <c r="C69" s="12" t="s">
        <v>319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333</v>
      </c>
      <c r="C70" s="12" t="s">
        <v>319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334</v>
      </c>
      <c r="C71" s="12" t="s">
        <v>316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336</v>
      </c>
      <c r="B76" s="11" t="s">
        <v>337</v>
      </c>
      <c r="C76" s="11" t="s">
        <v>162</v>
      </c>
      <c r="D76" s="11" t="s">
        <v>338</v>
      </c>
      <c r="E76" s="11" t="s">
        <v>80</v>
      </c>
      <c r="F76" s="11" t="s">
        <v>339</v>
      </c>
      <c r="G76" s="11" t="s">
        <v>340</v>
      </c>
      <c r="H76" s="11" t="s">
        <v>341</v>
      </c>
      <c r="I76" s="11" t="s">
        <v>221</v>
      </c>
      <c r="J76" s="11" t="s">
        <v>342</v>
      </c>
      <c r="K76" s="11" t="s">
        <v>174</v>
      </c>
      <c r="AJ76" s="12"/>
    </row>
    <row r="77" spans="1:36">
      <c r="A77" t="s">
        <v>92</v>
      </c>
      <c r="B77" s="176">
        <v>0</v>
      </c>
      <c r="C77" s="12" t="s">
        <v>343</v>
      </c>
      <c r="E77" s="12" t="s">
        <v>306</v>
      </c>
      <c r="F77" s="12" t="s">
        <v>306</v>
      </c>
      <c r="G77" s="12" t="s">
        <v>344</v>
      </c>
      <c r="H77" s="12" t="s">
        <v>309</v>
      </c>
      <c r="I77" s="12" t="s">
        <v>345</v>
      </c>
      <c r="J77" s="136" t="s">
        <v>346</v>
      </c>
      <c r="K77" s="12" t="s">
        <v>306</v>
      </c>
      <c r="AJ77" s="12"/>
    </row>
    <row r="78" spans="1:36">
      <c r="A78" t="s">
        <v>306</v>
      </c>
      <c r="B78" s="176">
        <v>5</v>
      </c>
      <c r="C78" s="134" t="s">
        <v>347</v>
      </c>
      <c r="D78" s="133"/>
      <c r="E78" s="12" t="s">
        <v>348</v>
      </c>
      <c r="F78" s="12" t="s">
        <v>349</v>
      </c>
      <c r="G78" s="12" t="s">
        <v>111</v>
      </c>
      <c r="H78" s="12" t="s">
        <v>132</v>
      </c>
      <c r="I78" s="12" t="s">
        <v>350</v>
      </c>
      <c r="J78" s="70" t="s">
        <v>90</v>
      </c>
      <c r="K78" s="12" t="s">
        <v>306</v>
      </c>
      <c r="AJ78" s="12"/>
    </row>
    <row r="79" spans="1:36">
      <c r="B79" s="176">
        <v>10</v>
      </c>
      <c r="C79" s="12" t="s">
        <v>351</v>
      </c>
      <c r="D79" s="12">
        <v>1</v>
      </c>
      <c r="E79" s="12" t="s">
        <v>352</v>
      </c>
      <c r="F79" s="12" t="s">
        <v>353</v>
      </c>
      <c r="G79" s="12" t="s">
        <v>354</v>
      </c>
      <c r="I79" s="12" t="s">
        <v>162</v>
      </c>
      <c r="J79" s="70" t="s">
        <v>355</v>
      </c>
      <c r="K79" s="12" t="s">
        <v>306</v>
      </c>
      <c r="AJ79" s="12"/>
    </row>
    <row r="80" spans="1:36">
      <c r="B80" s="176">
        <v>20</v>
      </c>
      <c r="C80" s="12" t="s">
        <v>356</v>
      </c>
      <c r="D80" s="12">
        <f>D79+1</f>
        <v>2</v>
      </c>
      <c r="E80" s="12" t="s">
        <v>91</v>
      </c>
      <c r="F80" s="12" t="s">
        <v>93</v>
      </c>
      <c r="J80" s="70" t="s">
        <v>357</v>
      </c>
      <c r="K80" s="12" t="s">
        <v>92</v>
      </c>
      <c r="AJ80" s="12"/>
    </row>
    <row r="81" spans="1:36">
      <c r="B81" s="176">
        <v>30</v>
      </c>
      <c r="C81" s="12" t="s">
        <v>358</v>
      </c>
      <c r="D81" s="12">
        <f>D80+1</f>
        <v>3</v>
      </c>
      <c r="J81" s="70" t="s">
        <v>95</v>
      </c>
      <c r="K81" s="12" t="s">
        <v>92</v>
      </c>
    </row>
    <row r="82" spans="1:36">
      <c r="B82" s="176">
        <v>40</v>
      </c>
      <c r="C82" s="12" t="s">
        <v>359</v>
      </c>
      <c r="D82" s="12">
        <f>D81+1</f>
        <v>4</v>
      </c>
      <c r="J82" s="70"/>
    </row>
    <row r="83" spans="1:36">
      <c r="B83" s="176">
        <v>50</v>
      </c>
      <c r="C83" s="12" t="s">
        <v>360</v>
      </c>
      <c r="D83" s="12">
        <f>D82+1</f>
        <v>5</v>
      </c>
    </row>
    <row r="84" spans="1:36">
      <c r="B84" s="176">
        <v>60</v>
      </c>
      <c r="C84" s="12" t="s">
        <v>361</v>
      </c>
      <c r="D84" s="12">
        <f>D83+1</f>
        <v>6</v>
      </c>
    </row>
    <row r="85" spans="1:36">
      <c r="B85" s="176">
        <v>70</v>
      </c>
      <c r="C85" s="12" t="s">
        <v>362</v>
      </c>
      <c r="D85" s="12">
        <f>D84+1</f>
        <v>7</v>
      </c>
    </row>
    <row r="86" spans="1:36">
      <c r="B86" s="176">
        <v>80</v>
      </c>
      <c r="C86" s="12" t="s">
        <v>363</v>
      </c>
      <c r="D86" s="12">
        <f>D85+1</f>
        <v>8</v>
      </c>
    </row>
    <row r="87" spans="1:36">
      <c r="B87" s="176">
        <v>89.99999999999999</v>
      </c>
      <c r="C87" s="12" t="s">
        <v>364</v>
      </c>
      <c r="D87" s="12">
        <f>D86+1</f>
        <v>9</v>
      </c>
    </row>
    <row r="88" spans="1:36">
      <c r="B88" s="176">
        <v>99.99999999999999</v>
      </c>
      <c r="C88" s="12" t="s">
        <v>365</v>
      </c>
      <c r="D88" s="12">
        <f>D87+1</f>
        <v>10</v>
      </c>
    </row>
    <row r="89" spans="1:36">
      <c r="C89" s="12" t="s">
        <v>366</v>
      </c>
      <c r="D89" s="12">
        <f>D88+1</f>
        <v>11</v>
      </c>
    </row>
    <row r="90" spans="1:36">
      <c r="C90" s="12" t="s">
        <v>126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