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<sst xmlns="http://schemas.openxmlformats.org/spreadsheetml/2006/main" uniqueCount="374">
  <si>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</si>
  <si>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</si>
  <si>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</si>
  <si>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</si>
  <si>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</si>
  <si>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</si>
  <si>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</si>
  <si>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</si>
  <si>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</si>
  <si>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</si>
  <si>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</si>
  <si>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</si>
  <si>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</si>
  <si>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</si>
  <si>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</si>
  <si>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</si>
  <si>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</si>
  <si>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</si>
  <si>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</si>
  <si>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</si>
  <si>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</si>
  <si>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</si>
  <si>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</si>
  <si>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</si>
  <si>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</si>
  <si>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</si>
  <si>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</si>
  <si>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</si>
  <si>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</si>
  <si>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</si>
  <si>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</si>
  <si>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</si>
  <si>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</si>
  <si>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</si>
  <si>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</si>
  <si>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</si>
  <si>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</si>
  <si>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</si>
  <si>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</si>
  <si>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</si>
  <si>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</si>
  <si>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</si>
  <si>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</si>
  <si>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</si>
  <si>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</si>
  <si>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</si>
  <si>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</si>
  <si>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</si>
  <si>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</si>
  <si>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</si>
  <si>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</si>
  <si>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</si>
  <si>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</si>
  <si>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</si>
  <si>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</si>
  <si>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</si>
  <si>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</si>
  <si>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</si>
  <si>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</si>
  <si>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</si>
  <si>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</si>
  <si>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</si>
  <si>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</si>
  <si>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</si>
  <si>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</si>
  <si>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</si>
  <si>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</si>
  <si>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</si>
  <si>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</si>
  <si>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</si>
  <si>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</si>
  <si>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</si>
  <si>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</si>
  <si>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</si>
  <si>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</si>
  <si>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</si>
  <si>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</si>
  <si>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</si>
  <si>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</si>
  <si>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</si>
  <si>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</si>
  <si>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</si>
  <si>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</si>
  <si>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</si>
  <si>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</si>
  <si>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</si>
  <si>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</si>
  <si>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</si>
  <si>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</si>
  <si>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</si>
  <si>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</si>
  <si>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</si>
  <si>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</si>
  <si>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</si>
  <si>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February</t>
  </si>
  <si>
    <t>Wheat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</si>
  <si>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</si>
  <si>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</si>
  <si>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</si>
  <si>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</si>
  <si>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</si>
  <si>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</si>
  <si>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</si>
  <si>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</si>
  <si>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</si>
  <si>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</si>
  <si>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</si>
  <si>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</si>
  <si>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</si>
  <si>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</si>
  <si>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</si>
  <si>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</si>
  <si>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</si>
  <si>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</si>
  <si>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</si>
  <si>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</si>
  <si>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</si>
  <si>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</si>
  <si>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</si>
  <si>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</si>
  <si>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</si>
  <si>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</si>
  <si>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</si>
  <si>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</si>
  <si>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</si>
  <si>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</si>
  <si>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</si>
  <si>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</si>
  <si>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</si>
  <si>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</si>
  <si>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</si>
  <si>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</si>
  <si>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</si>
  <si>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</si>
  <si>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</si>
  <si>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</si>
  <si>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</si>
  <si>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</si>
  <si>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</si>
  <si>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</si>
  <si>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</si>
  <si>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</si>
  <si>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</si>
  <si>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</si>
  <si>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5/11/2016</t>
  </si>
  <si>
    <t xml:space="preserve">Musoni </t>
  </si>
  <si>
    <t xml:space="preserve">TRP 100 % </t>
  </si>
  <si>
    <t>2/13/2017</t>
  </si>
  <si>
    <t>TRP 71 %</t>
  </si>
  <si>
    <t>6/22/2017</t>
  </si>
  <si>
    <t xml:space="preserve">Mobile money </t>
  </si>
  <si>
    <t>Listed but cleared with CRB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</si>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</sst>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July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0.2024433256634355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2018</v>
      </c>
    </row>
    <row r="13" spans="1:7">
      <c r="B13" s="1" t="s">
        <v>8</v>
      </c>
      <c r="C13" s="67">
        <f>IFERROR(Output!B107/Output!B101,"")</f>
        <v>0.003918748876505482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574272.5186622489</v>
      </c>
    </row>
    <row r="18" spans="1:7">
      <c r="B18" s="1" t="s">
        <v>12</v>
      </c>
      <c r="C18" s="36">
        <f>MIN(Output!B6:M6)</f>
        <v>-132954.0288145694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416525.2677744876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103000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-81514.02881456938</v>
      </c>
      <c r="C6" s="51">
        <f>C30-C88</f>
        <v>-36954.02881456938</v>
      </c>
      <c r="D6" s="51">
        <f>D30-D88</f>
        <v>-36954.02881456938</v>
      </c>
      <c r="E6" s="51">
        <f>E30-E88</f>
        <v>-132954.0288145694</v>
      </c>
      <c r="F6" s="51">
        <f>F30-F88</f>
        <v>-36954.02881456938</v>
      </c>
      <c r="G6" s="51">
        <f>G30-G88</f>
        <v>399725.2677744876</v>
      </c>
      <c r="H6" s="51">
        <f>H30-H88</f>
        <v>26629.84019765031</v>
      </c>
      <c r="I6" s="51">
        <f>I30-I88</f>
        <v>207184.3734321785</v>
      </c>
      <c r="J6" s="51">
        <f>J30-J88</f>
        <v>-20154.02881456938</v>
      </c>
      <c r="K6" s="51">
        <f>K30-K88</f>
        <v>-110154.0288145694</v>
      </c>
      <c r="L6" s="51">
        <f>L30-L88</f>
        <v>-20154.02881456938</v>
      </c>
      <c r="M6" s="51">
        <f>M30-M88</f>
        <v>416525.2677744876</v>
      </c>
      <c r="N6" s="51">
        <f>N30-N88</f>
        <v>-81514.02881456938</v>
      </c>
      <c r="O6" s="51">
        <f>O30-O88</f>
        <v>-36954.02881456938</v>
      </c>
      <c r="P6" s="51">
        <f>P30-P88</f>
        <v>-36954.02881456938</v>
      </c>
      <c r="Q6" s="51">
        <f>Q30-Q88</f>
        <v>-132954.0288145694</v>
      </c>
      <c r="R6" s="51">
        <f>R30-R88</f>
        <v>-36954.02881456938</v>
      </c>
      <c r="S6" s="51">
        <f>S30-S88</f>
        <v>399725.2677744876</v>
      </c>
      <c r="T6" s="51">
        <f>T30-T88</f>
        <v>26629.84019765031</v>
      </c>
      <c r="U6" s="51">
        <f>U30-U88</f>
        <v>207184.3734321785</v>
      </c>
      <c r="V6" s="51">
        <f>V30-V88</f>
        <v>-20154.02881456938</v>
      </c>
      <c r="W6" s="51">
        <f>W30-W88</f>
        <v>-110154.0288145694</v>
      </c>
      <c r="X6" s="51">
        <f>X30-X88</f>
        <v>-20154.02881456938</v>
      </c>
      <c r="Y6" s="51">
        <f>Y30-Y88</f>
        <v>416525.2677744876</v>
      </c>
      <c r="Z6" s="51">
        <f>SUMIF($B$13:$Y$13,"Yes",B6:Y6)</f>
        <v>492758.4898476795</v>
      </c>
      <c r="AA6" s="51">
        <f>AA30-AA88</f>
        <v>574272.5186622483</v>
      </c>
      <c r="AB6" s="51">
        <f>AB30-AB88</f>
        <v>1148545.037324498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102895</v>
      </c>
      <c r="I7" s="80">
        <f>IF(ISERROR(VLOOKUP(MONTH(I5),Inputs!$D$66:$D$71,1,0)),"",INDEX(Inputs!$B$66:$B$71,MATCH(MONTH(Output!I5),Inputs!$D$66:$D$71,0))-INDEX(Inputs!$C$66:$C$71,MATCH(MONTH(Output!I5),Inputs!$D$66:$D$71,0)))</f>
        <v>101872</v>
      </c>
      <c r="J7" s="80">
        <f>IF(ISERROR(VLOOKUP(MONTH(J5),Inputs!$D$66:$D$71,1,0)),"",INDEX(Inputs!$B$66:$B$71,MATCH(MONTH(Output!J5),Inputs!$D$66:$D$71,0))-INDEX(Inputs!$C$66:$C$71,MATCH(MONTH(Output!J5),Inputs!$D$66:$D$71,0)))</f>
        <v>-142500</v>
      </c>
      <c r="K7" s="80">
        <f>IF(ISERROR(VLOOKUP(MONTH(K5),Inputs!$D$66:$D$71,1,0)),"",INDEX(Inputs!$B$66:$B$71,MATCH(MONTH(Output!K5),Inputs!$D$66:$D$71,0))-INDEX(Inputs!$C$66:$C$71,MATCH(MONTH(Output!K5),Inputs!$D$66:$D$71,0)))</f>
        <v>11156</v>
      </c>
      <c r="L7" s="80">
        <f>IF(ISERROR(VLOOKUP(MONTH(L5),Inputs!$D$66:$D$71,1,0)),"",INDEX(Inputs!$B$66:$B$71,MATCH(MONTH(Output!L5),Inputs!$D$66:$D$71,0))-INDEX(Inputs!$C$66:$C$71,MATCH(MONTH(Output!L5),Inputs!$D$66:$D$71,0)))</f>
        <v>22055</v>
      </c>
      <c r="M7" s="80">
        <f>IF(ISERROR(VLOOKUP(MONTH(M5),Inputs!$D$66:$D$71,1,0)),"",INDEX(Inputs!$B$66:$B$71,MATCH(MONTH(Output!M5),Inputs!$D$66:$D$71,0))-INDEX(Inputs!$C$66:$C$71,MATCH(MONTH(Output!M5),Inputs!$D$66:$D$71,0)))</f>
        <v>29503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102895</v>
      </c>
      <c r="U7" s="80">
        <f>IF(ISERROR(VLOOKUP(MONTH(U5),Inputs!$D$66:$D$71,1,0)),"",INDEX(Inputs!$B$66:$B$71,MATCH(MONTH(Output!U5),Inputs!$D$66:$D$71,0))-INDEX(Inputs!$C$66:$C$71,MATCH(MONTH(Output!U5),Inputs!$D$66:$D$71,0)))</f>
        <v>101872</v>
      </c>
      <c r="V7" s="80">
        <f>IF(ISERROR(VLOOKUP(MONTH(V5),Inputs!$D$66:$D$71,1,0)),"",INDEX(Inputs!$B$66:$B$71,MATCH(MONTH(Output!V5),Inputs!$D$66:$D$71,0))-INDEX(Inputs!$C$66:$C$71,MATCH(MONTH(Output!V5),Inputs!$D$66:$D$71,0)))</f>
        <v>-142500</v>
      </c>
      <c r="W7" s="80">
        <f>IF(ISERROR(VLOOKUP(MONTH(W5),Inputs!$D$66:$D$71,1,0)),"",INDEX(Inputs!$B$66:$B$71,MATCH(MONTH(Output!W5),Inputs!$D$66:$D$71,0))-INDEX(Inputs!$C$66:$C$71,MATCH(MONTH(Output!W5),Inputs!$D$66:$D$71,0)))</f>
        <v>11156</v>
      </c>
      <c r="X7" s="80">
        <f>IF(ISERROR(VLOOKUP(MONTH(X5),Inputs!$D$66:$D$71,1,0)),"",INDEX(Inputs!$B$66:$B$71,MATCH(MONTH(Output!X5),Inputs!$D$66:$D$71,0))-INDEX(Inputs!$C$66:$C$71,MATCH(MONTH(Output!X5),Inputs!$D$66:$D$71,0)))</f>
        <v>22055</v>
      </c>
      <c r="Y7" s="80">
        <f>IF(ISERROR(VLOOKUP(MONTH(Y5),Inputs!$D$66:$D$71,1,0)),"",INDEX(Inputs!$B$66:$B$71,MATCH(MONTH(Output!Y5),Inputs!$D$66:$D$71,0))-INDEX(Inputs!$C$66:$C$71,MATCH(MONTH(Output!Y5),Inputs!$D$66:$D$71,0)))</f>
        <v>29503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18485.97118543062</v>
      </c>
      <c r="C11" s="80">
        <f>C6+C9-C10</f>
        <v>-46954.02881456938</v>
      </c>
      <c r="D11" s="80">
        <f>D6+D9-D10</f>
        <v>-46954.02881456938</v>
      </c>
      <c r="E11" s="80">
        <f>E6+E9-E10</f>
        <v>-142954.0288145694</v>
      </c>
      <c r="F11" s="80">
        <f>F6+F9-F10</f>
        <v>-46954.02881456938</v>
      </c>
      <c r="G11" s="80">
        <f>G6+G9-G10</f>
        <v>389725.2677744876</v>
      </c>
      <c r="H11" s="80">
        <f>H6+H9-H10</f>
        <v>16629.84019765031</v>
      </c>
      <c r="I11" s="80">
        <f>I6+I9-I10</f>
        <v>197184.3734321785</v>
      </c>
      <c r="J11" s="80">
        <f>J6+J9-J10</f>
        <v>-30154.02881456938</v>
      </c>
      <c r="K11" s="80">
        <f>K6+K9-K10</f>
        <v>-120154.0288145694</v>
      </c>
      <c r="L11" s="80">
        <f>L6+L9-L10</f>
        <v>-30154.02881456938</v>
      </c>
      <c r="M11" s="80">
        <f>M6+M9-M10</f>
        <v>406525.2677744876</v>
      </c>
      <c r="N11" s="80">
        <f>N6+N9-N10</f>
        <v>-91514.02881456938</v>
      </c>
      <c r="O11" s="80">
        <f>O6+O9-O10</f>
        <v>-36954.02881456938</v>
      </c>
      <c r="P11" s="80">
        <f>P6+P9-P10</f>
        <v>-36954.02881456938</v>
      </c>
      <c r="Q11" s="80">
        <f>Q6+Q9-Q10</f>
        <v>-132954.0288145694</v>
      </c>
      <c r="R11" s="80">
        <f>R6+R9-R10</f>
        <v>-36954.02881456938</v>
      </c>
      <c r="S11" s="80">
        <f>S6+S9-S10</f>
        <v>399725.2677744876</v>
      </c>
      <c r="T11" s="80">
        <f>T6+T9-T10</f>
        <v>26629.84019765031</v>
      </c>
      <c r="U11" s="80">
        <f>U6+U9-U10</f>
        <v>207184.3734321785</v>
      </c>
      <c r="V11" s="80">
        <f>V6+V9-V10</f>
        <v>-20154.02881456938</v>
      </c>
      <c r="W11" s="80">
        <f>W6+W9-W10</f>
        <v>-110154.0288145694</v>
      </c>
      <c r="X11" s="80">
        <f>X6+X9-X10</f>
        <v>-20154.02881456938</v>
      </c>
      <c r="Y11" s="80">
        <f>Y6+Y9-Y10</f>
        <v>416525.2677744876</v>
      </c>
      <c r="Z11" s="85">
        <f>SUMIF($B$13:$Y$13,"Yes",B11:Y11)</f>
        <v>472758.4898476795</v>
      </c>
      <c r="AA11" s="80">
        <f>SUM(B11:M11)</f>
        <v>564272.5186622489</v>
      </c>
      <c r="AB11" s="46">
        <f>SUM(B11:Y11)</f>
        <v>1128545.037324498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0.2867052641078497</v>
      </c>
      <c r="H12" s="82">
        <f>IF(H13="Yes",IF(SUM($B$10:H10)/(SUM($B$6:H6)+SUM($B$9:H9))&lt;0,999.99,SUM($B$10:H10)/(SUM($B$6:H6)+SUM($B$9:H9))),"")</f>
        <v>0.298470393110274</v>
      </c>
      <c r="I12" s="82">
        <f>IF(I13="Yes",IF(SUM($B$10:I10)/(SUM($B$6:I6)+SUM($B$9:I9))&lt;0,999.99,SUM($B$10:I10)/(SUM($B$6:I6)+SUM($B$9:I9))),"")</f>
        <v>0.1714806438716011</v>
      </c>
      <c r="J12" s="82">
        <f>IF(J13="Yes",IF(SUM($B$10:J10)/(SUM($B$6:J6)+SUM($B$9:J9))&lt;0,999.99,SUM($B$10:J10)/(SUM($B$6:J6)+SUM($B$9:J9))),"")</f>
        <v>0.20615617991608</v>
      </c>
      <c r="K12" s="82">
        <f>IF(K13="Yes",IF(SUM($B$10:K10)/(SUM($B$6:K6)+SUM($B$9:K9))&lt;0,999.99,SUM($B$10:K10)/(SUM($B$6:K6)+SUM($B$9:K9))),"")</f>
        <v>0.3238560113735424</v>
      </c>
      <c r="L12" s="82">
        <f>IF(L13="Yes",IF(SUM($B$10:L10)/(SUM($B$6:L6)+SUM($B$9:L9))&lt;0,999.99,SUM($B$10:L10)/(SUM($B$6:L6)+SUM($B$9:L9))),"")</f>
        <v>0.3879769799893851</v>
      </c>
      <c r="M12" s="82">
        <f>IF(M13="Yes",IF(SUM($B$10:M10)/(SUM($B$6:M6)+SUM($B$9:M9))&lt;0,999.99,SUM($B$10:M10)/(SUM($B$6:M6)+SUM($B$9:M9))),"")</f>
        <v>0.1631387858105786</v>
      </c>
      <c r="N12" s="82">
        <f>IF(N13="Yes",IF(SUM($B$10:N10)/(SUM($B$6:N6)+SUM($B$9:N9))&lt;0,999.99,SUM($B$10:N10)/(SUM($B$6:N6)+SUM($B$9:N9))),"")</f>
        <v>0.2024433256634355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189448.6685389566</v>
      </c>
      <c r="I18" s="36">
        <f>U18</f>
        <v>227338.4022467479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189448.6685389566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227338.4022467479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416787.0707857045</v>
      </c>
      <c r="AA18" s="36">
        <f>SUM(B18:M18)</f>
        <v>416787.0707857045</v>
      </c>
      <c r="AB18" s="36">
        <f>SUM(B18:Y18)</f>
        <v>833574.1415714091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436679.2965890569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436679.2965890569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436679.2965890569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436679.2965890569</v>
      </c>
      <c r="Z19" s="36">
        <f>SUMIF($B$13:$Y$13,"Yes",B19:Y19)</f>
        <v>873358.5931781138</v>
      </c>
      <c r="AA19" s="36">
        <f>SUM(B19:M19)</f>
        <v>873358.5931781138</v>
      </c>
      <c r="AB19" s="36">
        <f>SUM(B19:Y19)</f>
        <v>1746717.186356228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19166.66666666667</v>
      </c>
      <c r="C24" s="36">
        <f>IFERROR(Calculations!$P14/12,"")</f>
        <v>19166.66666666667</v>
      </c>
      <c r="D24" s="36">
        <f>IFERROR(Calculations!$P14/12,"")</f>
        <v>19166.66666666667</v>
      </c>
      <c r="E24" s="36">
        <f>IFERROR(Calculations!$P14/12,"")</f>
        <v>19166.66666666667</v>
      </c>
      <c r="F24" s="36">
        <f>IFERROR(Calculations!$P14/12,"")</f>
        <v>19166.66666666667</v>
      </c>
      <c r="G24" s="36">
        <f>IFERROR(Calculations!$P14/12,"")</f>
        <v>19166.66666666667</v>
      </c>
      <c r="H24" s="36">
        <f>IFERROR(Calculations!$P14/12,"")</f>
        <v>19166.66666666667</v>
      </c>
      <c r="I24" s="36">
        <f>IFERROR(Calculations!$P14/12,"")</f>
        <v>19166.66666666667</v>
      </c>
      <c r="J24" s="36">
        <f>IFERROR(Calculations!$P14/12,"")</f>
        <v>19166.66666666667</v>
      </c>
      <c r="K24" s="36">
        <f>IFERROR(Calculations!$P14/12,"")</f>
        <v>19166.66666666667</v>
      </c>
      <c r="L24" s="36">
        <f>IFERROR(Calculations!$P14/12,"")</f>
        <v>19166.66666666667</v>
      </c>
      <c r="M24" s="36">
        <f>IFERROR(Calculations!$P14/12,"")</f>
        <v>19166.66666666667</v>
      </c>
      <c r="N24" s="36">
        <f>IFERROR(Calculations!$P14/12,"")</f>
        <v>19166.66666666667</v>
      </c>
      <c r="O24" s="36">
        <f>IFERROR(Calculations!$P14/12,"")</f>
        <v>19166.66666666667</v>
      </c>
      <c r="P24" s="36">
        <f>IFERROR(Calculations!$P14/12,"")</f>
        <v>19166.66666666667</v>
      </c>
      <c r="Q24" s="36">
        <f>IFERROR(Calculations!$P14/12,"")</f>
        <v>19166.66666666667</v>
      </c>
      <c r="R24" s="36">
        <f>IFERROR(Calculations!$P14/12,"")</f>
        <v>19166.66666666667</v>
      </c>
      <c r="S24" s="36">
        <f>IFERROR(Calculations!$P14/12,"")</f>
        <v>19166.66666666667</v>
      </c>
      <c r="T24" s="36">
        <f>IFERROR(Calculations!$P14/12,"")</f>
        <v>19166.66666666667</v>
      </c>
      <c r="U24" s="36">
        <f>IFERROR(Calculations!$P14/12,"")</f>
        <v>19166.66666666667</v>
      </c>
      <c r="V24" s="36">
        <f>IFERROR(Calculations!$P14/12,"")</f>
        <v>19166.66666666667</v>
      </c>
      <c r="W24" s="36">
        <f>IFERROR(Calculations!$P14/12,"")</f>
        <v>19166.66666666667</v>
      </c>
      <c r="X24" s="36">
        <f>IFERROR(Calculations!$P14/12,"")</f>
        <v>19166.66666666667</v>
      </c>
      <c r="Y24" s="36">
        <f>IFERROR(Calculations!$P14/12,"")</f>
        <v>19166.66666666667</v>
      </c>
      <c r="Z24" s="36">
        <f>SUMIF($B$13:$Y$13,"Yes",B24:Y24)</f>
        <v>249166.6666666666</v>
      </c>
      <c r="AA24" s="36">
        <f>SUM(B24:M24)</f>
        <v>230000</v>
      </c>
      <c r="AB24" s="46">
        <f>SUM(B24:Y24)</f>
        <v>460000.0000000002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4166.666666666667</v>
      </c>
      <c r="C25" s="36">
        <f>IFERROR(Calculations!$P15/12,"")</f>
        <v>4166.666666666667</v>
      </c>
      <c r="D25" s="36">
        <f>IFERROR(Calculations!$P15/12,"")</f>
        <v>4166.666666666667</v>
      </c>
      <c r="E25" s="36">
        <f>IFERROR(Calculations!$P15/12,"")</f>
        <v>4166.666666666667</v>
      </c>
      <c r="F25" s="36">
        <f>IFERROR(Calculations!$P15/12,"")</f>
        <v>4166.666666666667</v>
      </c>
      <c r="G25" s="36">
        <f>IFERROR(Calculations!$P15/12,"")</f>
        <v>4166.666666666667</v>
      </c>
      <c r="H25" s="36">
        <f>IFERROR(Calculations!$P15/12,"")</f>
        <v>4166.666666666667</v>
      </c>
      <c r="I25" s="36">
        <f>IFERROR(Calculations!$P15/12,"")</f>
        <v>4166.666666666667</v>
      </c>
      <c r="J25" s="36">
        <f>IFERROR(Calculations!$P15/12,"")</f>
        <v>4166.666666666667</v>
      </c>
      <c r="K25" s="36">
        <f>IFERROR(Calculations!$P15/12,"")</f>
        <v>4166.666666666667</v>
      </c>
      <c r="L25" s="36">
        <f>IFERROR(Calculations!$P15/12,"")</f>
        <v>4166.666666666667</v>
      </c>
      <c r="M25" s="36">
        <f>IFERROR(Calculations!$P15/12,"")</f>
        <v>4166.666666666667</v>
      </c>
      <c r="N25" s="36">
        <f>IFERROR(Calculations!$P15/12,"")</f>
        <v>4166.666666666667</v>
      </c>
      <c r="O25" s="36">
        <f>IFERROR(Calculations!$P15/12,"")</f>
        <v>4166.666666666667</v>
      </c>
      <c r="P25" s="36">
        <f>IFERROR(Calculations!$P15/12,"")</f>
        <v>4166.666666666667</v>
      </c>
      <c r="Q25" s="36">
        <f>IFERROR(Calculations!$P15/12,"")</f>
        <v>4166.666666666667</v>
      </c>
      <c r="R25" s="36">
        <f>IFERROR(Calculations!$P15/12,"")</f>
        <v>4166.666666666667</v>
      </c>
      <c r="S25" s="36">
        <f>IFERROR(Calculations!$P15/12,"")</f>
        <v>4166.666666666667</v>
      </c>
      <c r="T25" s="36">
        <f>IFERROR(Calculations!$P15/12,"")</f>
        <v>4166.666666666667</v>
      </c>
      <c r="U25" s="36">
        <f>IFERROR(Calculations!$P15/12,"")</f>
        <v>4166.666666666667</v>
      </c>
      <c r="V25" s="36">
        <f>IFERROR(Calculations!$P15/12,"")</f>
        <v>4166.666666666667</v>
      </c>
      <c r="W25" s="36">
        <f>IFERROR(Calculations!$P15/12,"")</f>
        <v>4166.666666666667</v>
      </c>
      <c r="X25" s="36">
        <f>IFERROR(Calculations!$P15/12,"")</f>
        <v>4166.666666666667</v>
      </c>
      <c r="Y25" s="36">
        <f>IFERROR(Calculations!$P15/12,"")</f>
        <v>4166.666666666667</v>
      </c>
      <c r="Z25" s="36">
        <f>SUMIF($B$13:$Y$13,"Yes",B25:Y25)</f>
        <v>54166.66666666666</v>
      </c>
      <c r="AA25" s="36">
        <f>SUM(B25:M25)</f>
        <v>49999.99999999999</v>
      </c>
      <c r="AB25" s="46">
        <f>SUM(B25:Y25)</f>
        <v>100000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9000</v>
      </c>
      <c r="C29" s="37">
        <f>Inputs!$B$30</f>
        <v>9000</v>
      </c>
      <c r="D29" s="37">
        <f>Inputs!$B$30</f>
        <v>9000</v>
      </c>
      <c r="E29" s="37">
        <f>Inputs!$B$30</f>
        <v>9000</v>
      </c>
      <c r="F29" s="37">
        <f>Inputs!$B$30</f>
        <v>9000</v>
      </c>
      <c r="G29" s="37">
        <f>Inputs!$B$30</f>
        <v>9000</v>
      </c>
      <c r="H29" s="37">
        <f>Inputs!$B$30</f>
        <v>9000</v>
      </c>
      <c r="I29" s="37">
        <f>Inputs!$B$30</f>
        <v>9000</v>
      </c>
      <c r="J29" s="37">
        <f>Inputs!$B$30</f>
        <v>9000</v>
      </c>
      <c r="K29" s="37">
        <f>Inputs!$B$30</f>
        <v>9000</v>
      </c>
      <c r="L29" s="37">
        <f>Inputs!$B$30</f>
        <v>9000</v>
      </c>
      <c r="M29" s="37">
        <f>Inputs!$B$30</f>
        <v>9000</v>
      </c>
      <c r="N29" s="37">
        <f>Inputs!$B$30</f>
        <v>9000</v>
      </c>
      <c r="O29" s="37">
        <f>Inputs!$B$30</f>
        <v>9000</v>
      </c>
      <c r="P29" s="37">
        <f>Inputs!$B$30</f>
        <v>9000</v>
      </c>
      <c r="Q29" s="37">
        <f>Inputs!$B$30</f>
        <v>9000</v>
      </c>
      <c r="R29" s="37">
        <f>Inputs!$B$30</f>
        <v>9000</v>
      </c>
      <c r="S29" s="37">
        <f>Inputs!$B$30</f>
        <v>9000</v>
      </c>
      <c r="T29" s="37">
        <f>Inputs!$B$30</f>
        <v>9000</v>
      </c>
      <c r="U29" s="37">
        <f>Inputs!$B$30</f>
        <v>9000</v>
      </c>
      <c r="V29" s="37">
        <f>Inputs!$B$30</f>
        <v>9000</v>
      </c>
      <c r="W29" s="37">
        <f>Inputs!$B$30</f>
        <v>9000</v>
      </c>
      <c r="X29" s="37">
        <f>Inputs!$B$30</f>
        <v>9000</v>
      </c>
      <c r="Y29" s="37">
        <f>Inputs!$B$30</f>
        <v>9000</v>
      </c>
      <c r="Z29" s="37">
        <f>SUMIF($B$13:$Y$13,"Yes",B29:Y29)</f>
        <v>117000</v>
      </c>
      <c r="AA29" s="37">
        <f>SUM(B29:M29)</f>
        <v>108000</v>
      </c>
      <c r="AB29" s="37">
        <f>SUM(B29:Y29)</f>
        <v>216000</v>
      </c>
    </row>
    <row r="30" spans="1:30" customHeight="1" ht="15.75">
      <c r="A30" s="1" t="s">
        <v>37</v>
      </c>
      <c r="B30" s="19">
        <f>SUM(B18:B29)</f>
        <v>32333.33333333334</v>
      </c>
      <c r="C30" s="19">
        <f>SUM(C18:C29)</f>
        <v>32333.33333333334</v>
      </c>
      <c r="D30" s="19">
        <f>SUM(D18:D29)</f>
        <v>32333.33333333334</v>
      </c>
      <c r="E30" s="19">
        <f>SUM(E18:E29)</f>
        <v>32333.33333333334</v>
      </c>
      <c r="F30" s="19">
        <f>SUM(F18:F29)</f>
        <v>32333.33333333334</v>
      </c>
      <c r="G30" s="19">
        <f>SUM(G18:G29)</f>
        <v>469012.6299223903</v>
      </c>
      <c r="H30" s="19">
        <f>SUM(H18:H29)</f>
        <v>221782.0018722899</v>
      </c>
      <c r="I30" s="19">
        <f>SUM(I18:I29)</f>
        <v>259671.7355800812</v>
      </c>
      <c r="J30" s="19">
        <f>SUM(J18:J29)</f>
        <v>32333.33333333334</v>
      </c>
      <c r="K30" s="19">
        <f>SUM(K18:K29)</f>
        <v>32333.33333333334</v>
      </c>
      <c r="L30" s="19">
        <f>SUM(L18:L29)</f>
        <v>32333.33333333334</v>
      </c>
      <c r="M30" s="19">
        <f>SUM(M18:M29)</f>
        <v>469012.6299223903</v>
      </c>
      <c r="N30" s="19">
        <f>SUM(N18:N29)</f>
        <v>32333.33333333334</v>
      </c>
      <c r="O30" s="19">
        <f>SUM(O18:O29)</f>
        <v>32333.33333333334</v>
      </c>
      <c r="P30" s="19">
        <f>SUM(P18:P29)</f>
        <v>32333.33333333334</v>
      </c>
      <c r="Q30" s="19">
        <f>SUM(Q18:Q29)</f>
        <v>32333.33333333334</v>
      </c>
      <c r="R30" s="19">
        <f>SUM(R18:R29)</f>
        <v>32333.33333333334</v>
      </c>
      <c r="S30" s="19">
        <f>SUM(S18:S29)</f>
        <v>469012.6299223903</v>
      </c>
      <c r="T30" s="19">
        <f>SUM(T18:T29)</f>
        <v>221782.0018722899</v>
      </c>
      <c r="U30" s="19">
        <f>SUM(U18:U29)</f>
        <v>259671.7355800812</v>
      </c>
      <c r="V30" s="19">
        <f>SUM(V18:V29)</f>
        <v>32333.33333333334</v>
      </c>
      <c r="W30" s="19">
        <f>SUM(W18:W29)</f>
        <v>32333.33333333334</v>
      </c>
      <c r="X30" s="19">
        <f>SUM(X18:X29)</f>
        <v>32333.33333333334</v>
      </c>
      <c r="Y30" s="19">
        <f>SUM(Y18:Y29)</f>
        <v>469012.6299223903</v>
      </c>
      <c r="Z30" s="19">
        <f>SUMIF($B$13:$Y$13,"Yes",B30:Y30)</f>
        <v>1710478.997297151</v>
      </c>
      <c r="AA30" s="19">
        <f>SUM(B30:M30)</f>
        <v>1678145.663963818</v>
      </c>
      <c r="AB30" s="19">
        <f>SUM(B30:Y30)</f>
        <v>3356291.327927636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44560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38500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44560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38500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127620</v>
      </c>
      <c r="AA42" s="36">
        <f>SUM(B42:M42)</f>
        <v>83060</v>
      </c>
      <c r="AB42" s="36">
        <f>SUM(B42:Y42)</f>
        <v>166120</v>
      </c>
    </row>
    <row r="43" spans="1:30" hidden="true" outlineLevel="1">
      <c r="A43" s="181" t="str">
        <f>Calculations!$A$4</f>
        <v>Maize</v>
      </c>
      <c r="B43" s="36">
        <f>N43</f>
        <v>6060.000000000001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6060.000000000001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12120</v>
      </c>
      <c r="AA43" s="36">
        <f>SUM(B43:M43)</f>
        <v>6060.000000000001</v>
      </c>
      <c r="AB43" s="36">
        <f>SUM(B43:Y43)</f>
        <v>12120</v>
      </c>
    </row>
    <row r="44" spans="1:30" hidden="true" outlineLevel="1">
      <c r="A44" s="181" t="str">
        <f>Calculations!$A$5</f>
        <v>Wheat</v>
      </c>
      <c r="B44" s="36">
        <f>N44</f>
        <v>38500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38500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38500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38500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115500</v>
      </c>
      <c r="AA44" s="36">
        <f>SUM(B44:M44)</f>
        <v>77000</v>
      </c>
      <c r="AB44" s="36">
        <f>SUM(B44:Y44)</f>
        <v>154000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96000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96000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90000</v>
      </c>
      <c r="X48" s="46">
        <f>SUM(X49:X53)</f>
        <v>0</v>
      </c>
      <c r="Y48" s="46">
        <f>SUM(Y49:Y53)</f>
        <v>0</v>
      </c>
      <c r="Z48" s="46">
        <f>SUMIF($B$13:$Y$13,"Yes",B48:Y48)</f>
        <v>186000</v>
      </c>
      <c r="AA48" s="46">
        <f>SUM(B48:M48)</f>
        <v>186000</v>
      </c>
      <c r="AB48" s="46">
        <f>SUM(B48:Y48)</f>
        <v>372000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90000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90000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90000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90000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180000</v>
      </c>
      <c r="AA50" s="46">
        <f>SUM(B50:M50)</f>
        <v>180000</v>
      </c>
      <c r="AB50" s="46">
        <f>SUM(B50:Y50)</f>
        <v>360000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87364.79952673688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87364.79952673688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87364.79952673688</v>
      </c>
      <c r="AA54" s="46">
        <f>SUM(B54:M54)</f>
        <v>87364.79952673688</v>
      </c>
      <c r="AB54" s="46">
        <f>SUM(B54:Y54)</f>
        <v>174729.5990534738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87364.79952673688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87364.79952673688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87364.79952673688</v>
      </c>
      <c r="AA55" s="46">
        <f>SUM(B55:M55)</f>
        <v>87364.79952673688</v>
      </c>
      <c r="AB55" s="46">
        <f>SUM(B55:Y55)</f>
        <v>174729.5990534738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29050</v>
      </c>
      <c r="C66" s="36">
        <f>O66</f>
        <v>29050</v>
      </c>
      <c r="D66" s="36">
        <f>P66</f>
        <v>29050</v>
      </c>
      <c r="E66" s="36">
        <f>Q66</f>
        <v>29050</v>
      </c>
      <c r="F66" s="36">
        <f>R66</f>
        <v>29050</v>
      </c>
      <c r="G66" s="36">
        <f>S66</f>
        <v>29050</v>
      </c>
      <c r="H66" s="36">
        <f>T66</f>
        <v>29050</v>
      </c>
      <c r="I66" s="36">
        <f>U66</f>
        <v>12250</v>
      </c>
      <c r="J66" s="36">
        <f>V66</f>
        <v>12250</v>
      </c>
      <c r="K66" s="36">
        <f>W66</f>
        <v>12250</v>
      </c>
      <c r="L66" s="36">
        <f>X66</f>
        <v>12250</v>
      </c>
      <c r="M66" s="36">
        <f>Y66</f>
        <v>12250</v>
      </c>
      <c r="N66" s="46">
        <f>SUM(N67:N71)</f>
        <v>29050</v>
      </c>
      <c r="O66" s="46">
        <f>SUM(O67:O71)</f>
        <v>29050</v>
      </c>
      <c r="P66" s="46">
        <f>SUM(P67:P71)</f>
        <v>29050</v>
      </c>
      <c r="Q66" s="46">
        <f>SUM(Q67:Q71)</f>
        <v>29050</v>
      </c>
      <c r="R66" s="46">
        <f>SUM(R67:R71)</f>
        <v>29050</v>
      </c>
      <c r="S66" s="46">
        <f>SUM(S67:S71)</f>
        <v>29050</v>
      </c>
      <c r="T66" s="46">
        <f>SUM(T67:T71)</f>
        <v>29050</v>
      </c>
      <c r="U66" s="46">
        <f>SUM(U67:U71)</f>
        <v>12250</v>
      </c>
      <c r="V66" s="46">
        <f>SUM(V67:V71)</f>
        <v>12250</v>
      </c>
      <c r="W66" s="46">
        <f>SUM(W67:W71)</f>
        <v>12250</v>
      </c>
      <c r="X66" s="46">
        <f>SUM(X67:X71)</f>
        <v>12250</v>
      </c>
      <c r="Y66" s="46">
        <f>SUM(Y67:Y71)</f>
        <v>12250</v>
      </c>
      <c r="Z66" s="46">
        <f>SUMIF($B$13:$Y$13,"Yes",B66:Y66)</f>
        <v>293650</v>
      </c>
      <c r="AA66" s="46">
        <f>SUM(B66:M66)</f>
        <v>264600</v>
      </c>
      <c r="AB66" s="46">
        <f>SUM(B66:Y66)</f>
        <v>529200</v>
      </c>
    </row>
    <row r="67" spans="1:30" hidden="true" outlineLevel="1">
      <c r="A67" s="181" t="str">
        <f>Calculations!$A$4</f>
        <v>Maize</v>
      </c>
      <c r="B67" s="36">
        <f>N67</f>
        <v>16800</v>
      </c>
      <c r="C67" s="36">
        <f>O67</f>
        <v>16800</v>
      </c>
      <c r="D67" s="36">
        <f>P67</f>
        <v>16800</v>
      </c>
      <c r="E67" s="36">
        <f>Q67</f>
        <v>16800</v>
      </c>
      <c r="F67" s="36">
        <f>R67</f>
        <v>16800</v>
      </c>
      <c r="G67" s="36">
        <f>S67</f>
        <v>16800</v>
      </c>
      <c r="H67" s="36">
        <f>T67</f>
        <v>16800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16800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16800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134400</v>
      </c>
      <c r="AA67" s="46">
        <f>SUM(B67:M67)</f>
        <v>117600</v>
      </c>
      <c r="AB67" s="46">
        <f>SUM(B67:Y67)</f>
        <v>235200</v>
      </c>
    </row>
    <row r="68" spans="1:30" hidden="true" outlineLevel="1">
      <c r="A68" s="181" t="str">
        <f>Calculations!$A$5</f>
        <v>Wheat</v>
      </c>
      <c r="B68" s="36">
        <f>N68</f>
        <v>12250</v>
      </c>
      <c r="C68" s="36">
        <f>O68</f>
        <v>12250</v>
      </c>
      <c r="D68" s="36">
        <f>P68</f>
        <v>12250</v>
      </c>
      <c r="E68" s="36">
        <f>Q68</f>
        <v>12250</v>
      </c>
      <c r="F68" s="36">
        <f>R68</f>
        <v>12250</v>
      </c>
      <c r="G68" s="36">
        <f>S68</f>
        <v>12250</v>
      </c>
      <c r="H68" s="36">
        <f>T68</f>
        <v>12250</v>
      </c>
      <c r="I68" s="36">
        <f>U68</f>
        <v>12250</v>
      </c>
      <c r="J68" s="36">
        <f>V68</f>
        <v>12250</v>
      </c>
      <c r="K68" s="36">
        <f>W68</f>
        <v>12250</v>
      </c>
      <c r="L68" s="36">
        <f>X68</f>
        <v>12250</v>
      </c>
      <c r="M68" s="36">
        <f>Y68</f>
        <v>12250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12250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12250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12250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12250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12250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12250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12250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12250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12250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12250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12250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12250</v>
      </c>
      <c r="Z68" s="46">
        <f>SUMIF($B$13:$Y$13,"Yes",B68:Y68)</f>
        <v>159250</v>
      </c>
      <c r="AA68" s="46">
        <f>SUM(B68:M68)</f>
        <v>147000</v>
      </c>
      <c r="AB68" s="46">
        <f>SUM(B68:Y68)</f>
        <v>294000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2333.333333333333</v>
      </c>
      <c r="C75" s="46">
        <f>SUM(Calculations!$R$14:$R$16)/12</f>
        <v>2333.333333333333</v>
      </c>
      <c r="D75" s="46">
        <f>SUM(Calculations!$R$14:$R$16)/12</f>
        <v>2333.333333333333</v>
      </c>
      <c r="E75" s="46">
        <f>SUM(Calculations!$R$14:$R$16)/12</f>
        <v>2333.333333333333</v>
      </c>
      <c r="F75" s="46">
        <f>SUM(Calculations!$R$14:$R$16)/12</f>
        <v>2333.333333333333</v>
      </c>
      <c r="G75" s="46">
        <f>SUM(Calculations!$R$14:$R$16)/12</f>
        <v>2333.333333333333</v>
      </c>
      <c r="H75" s="46">
        <f>SUM(Calculations!$R$14:$R$16)/12</f>
        <v>2333.333333333333</v>
      </c>
      <c r="I75" s="46">
        <f>SUM(Calculations!$R$14:$R$16)/12</f>
        <v>2333.333333333333</v>
      </c>
      <c r="J75" s="46">
        <f>SUM(Calculations!$R$14:$R$16)/12</f>
        <v>2333.333333333333</v>
      </c>
      <c r="K75" s="46">
        <f>SUM(Calculations!$R$14:$R$16)/12</f>
        <v>2333.333333333333</v>
      </c>
      <c r="L75" s="46">
        <f>SUM(Calculations!$R$14:$R$16)/12</f>
        <v>2333.333333333333</v>
      </c>
      <c r="M75" s="46">
        <f>SUM(Calculations!$R$14:$R$16)/12</f>
        <v>2333.333333333333</v>
      </c>
      <c r="N75" s="46">
        <f>SUM(Calculations!$R$14:$R$16)/12</f>
        <v>2333.333333333333</v>
      </c>
      <c r="O75" s="46">
        <f>SUM(Calculations!$R$14:$R$16)/12</f>
        <v>2333.333333333333</v>
      </c>
      <c r="P75" s="46">
        <f>SUM(Calculations!$R$14:$R$16)/12</f>
        <v>2333.333333333333</v>
      </c>
      <c r="Q75" s="46">
        <f>SUM(Calculations!$R$14:$R$16)/12</f>
        <v>2333.333333333333</v>
      </c>
      <c r="R75" s="46">
        <f>SUM(Calculations!$R$14:$R$16)/12</f>
        <v>2333.333333333333</v>
      </c>
      <c r="S75" s="46">
        <f>SUM(Calculations!$R$14:$R$16)/12</f>
        <v>2333.333333333333</v>
      </c>
      <c r="T75" s="46">
        <f>SUM(Calculations!$R$14:$R$16)/12</f>
        <v>2333.333333333333</v>
      </c>
      <c r="U75" s="46">
        <f>SUM(Calculations!$R$14:$R$16)/12</f>
        <v>2333.333333333333</v>
      </c>
      <c r="V75" s="46">
        <f>SUM(Calculations!$R$14:$R$16)/12</f>
        <v>2333.333333333333</v>
      </c>
      <c r="W75" s="46">
        <f>SUM(Calculations!$R$14:$R$16)/12</f>
        <v>2333.333333333333</v>
      </c>
      <c r="X75" s="46">
        <f>SUM(Calculations!$R$14:$R$16)/12</f>
        <v>2333.333333333333</v>
      </c>
      <c r="Y75" s="46">
        <f>SUM(Calculations!$R$14:$R$16)/12</f>
        <v>2333.333333333333</v>
      </c>
      <c r="Z75" s="46">
        <f>SUMIF($B$13:$Y$13,"Yes",B75:Y75)</f>
        <v>30333.33333333333</v>
      </c>
      <c r="AA75" s="46">
        <f>SUM(B75:M75)</f>
        <v>28000</v>
      </c>
      <c r="AB75" s="46">
        <f>SUM(B75:Y75)</f>
        <v>56000.00000000001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39000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39000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31904.02881456939</v>
      </c>
      <c r="C81" s="46">
        <f>(SUM($AA$18:$AA$29)-SUM($AA$36,$AA$42,$AA$48,$AA$54,$AA$60,$AA$66,$AA$72:$AA$79))*Parameters!$B$37/12</f>
        <v>31904.02881456939</v>
      </c>
      <c r="D81" s="46">
        <f>(SUM($AA$18:$AA$29)-SUM($AA$36,$AA$42,$AA$48,$AA$54,$AA$60,$AA$66,$AA$72:$AA$79))*Parameters!$B$37/12</f>
        <v>31904.02881456939</v>
      </c>
      <c r="E81" s="46">
        <f>(SUM($AA$18:$AA$29)-SUM($AA$36,$AA$42,$AA$48,$AA$54,$AA$60,$AA$66,$AA$72:$AA$79))*Parameters!$B$37/12</f>
        <v>31904.02881456939</v>
      </c>
      <c r="F81" s="46">
        <f>(SUM($AA$18:$AA$29)-SUM($AA$36,$AA$42,$AA$48,$AA$54,$AA$60,$AA$66,$AA$72:$AA$79))*Parameters!$B$37/12</f>
        <v>31904.02881456939</v>
      </c>
      <c r="G81" s="46">
        <f>(SUM($AA$18:$AA$29)-SUM($AA$36,$AA$42,$AA$48,$AA$54,$AA$60,$AA$66,$AA$72:$AA$79))*Parameters!$B$37/12</f>
        <v>31904.02881456939</v>
      </c>
      <c r="H81" s="46">
        <f>(SUM($AA$18:$AA$29)-SUM($AA$36,$AA$42,$AA$48,$AA$54,$AA$60,$AA$66,$AA$72:$AA$79))*Parameters!$B$37/12</f>
        <v>31904.02881456939</v>
      </c>
      <c r="I81" s="46">
        <f>(SUM($AA$18:$AA$29)-SUM($AA$36,$AA$42,$AA$48,$AA$54,$AA$60,$AA$66,$AA$72:$AA$79))*Parameters!$B$37/12</f>
        <v>31904.02881456939</v>
      </c>
      <c r="J81" s="46">
        <f>(SUM($AA$18:$AA$29)-SUM($AA$36,$AA$42,$AA$48,$AA$54,$AA$60,$AA$66,$AA$72:$AA$79))*Parameters!$B$37/12</f>
        <v>31904.02881456939</v>
      </c>
      <c r="K81" s="46">
        <f>(SUM($AA$18:$AA$29)-SUM($AA$36,$AA$42,$AA$48,$AA$54,$AA$60,$AA$66,$AA$72:$AA$79))*Parameters!$B$37/12</f>
        <v>31904.02881456939</v>
      </c>
      <c r="L81" s="46">
        <f>(SUM($AA$18:$AA$29)-SUM($AA$36,$AA$42,$AA$48,$AA$54,$AA$60,$AA$66,$AA$72:$AA$79))*Parameters!$B$37/12</f>
        <v>31904.02881456939</v>
      </c>
      <c r="M81" s="46">
        <f>(SUM($AA$18:$AA$29)-SUM($AA$36,$AA$42,$AA$48,$AA$54,$AA$60,$AA$66,$AA$72:$AA$79))*Parameters!$B$37/12</f>
        <v>31904.02881456939</v>
      </c>
      <c r="N81" s="46">
        <f>(SUM($AA$18:$AA$29)-SUM($AA$36,$AA$42,$AA$48,$AA$54,$AA$60,$AA$66,$AA$72:$AA$79))*Parameters!$B$37/12</f>
        <v>31904.02881456939</v>
      </c>
      <c r="O81" s="46">
        <f>(SUM($AA$18:$AA$29)-SUM($AA$36,$AA$42,$AA$48,$AA$54,$AA$60,$AA$66,$AA$72:$AA$79))*Parameters!$B$37/12</f>
        <v>31904.02881456939</v>
      </c>
      <c r="P81" s="46">
        <f>(SUM($AA$18:$AA$29)-SUM($AA$36,$AA$42,$AA$48,$AA$54,$AA$60,$AA$66,$AA$72:$AA$79))*Parameters!$B$37/12</f>
        <v>31904.02881456939</v>
      </c>
      <c r="Q81" s="46">
        <f>(SUM($AA$18:$AA$29)-SUM($AA$36,$AA$42,$AA$48,$AA$54,$AA$60,$AA$66,$AA$72:$AA$79))*Parameters!$B$37/12</f>
        <v>31904.02881456939</v>
      </c>
      <c r="R81" s="46">
        <f>(SUM($AA$18:$AA$29)-SUM($AA$36,$AA$42,$AA$48,$AA$54,$AA$60,$AA$66,$AA$72:$AA$79))*Parameters!$B$37/12</f>
        <v>31904.02881456939</v>
      </c>
      <c r="S81" s="46">
        <f>(SUM($AA$18:$AA$29)-SUM($AA$36,$AA$42,$AA$48,$AA$54,$AA$60,$AA$66,$AA$72:$AA$79))*Parameters!$B$37/12</f>
        <v>31904.02881456939</v>
      </c>
      <c r="T81" s="46">
        <f>(SUM($AA$18:$AA$29)-SUM($AA$36,$AA$42,$AA$48,$AA$54,$AA$60,$AA$66,$AA$72:$AA$79))*Parameters!$B$37/12</f>
        <v>31904.02881456939</v>
      </c>
      <c r="U81" s="46">
        <f>(SUM($AA$18:$AA$29)-SUM($AA$36,$AA$42,$AA$48,$AA$54,$AA$60,$AA$66,$AA$72:$AA$79))*Parameters!$B$37/12</f>
        <v>31904.02881456939</v>
      </c>
      <c r="V81" s="46">
        <f>(SUM($AA$18:$AA$29)-SUM($AA$36,$AA$42,$AA$48,$AA$54,$AA$60,$AA$66,$AA$72:$AA$79))*Parameters!$B$37/12</f>
        <v>31904.02881456939</v>
      </c>
      <c r="W81" s="46">
        <f>(SUM($AA$18:$AA$29)-SUM($AA$36,$AA$42,$AA$48,$AA$54,$AA$60,$AA$66,$AA$72:$AA$79))*Parameters!$B$37/12</f>
        <v>31904.02881456939</v>
      </c>
      <c r="X81" s="46">
        <f>(SUM($AA$18:$AA$29)-SUM($AA$36,$AA$42,$AA$48,$AA$54,$AA$60,$AA$66,$AA$72:$AA$79))*Parameters!$B$37/12</f>
        <v>31904.02881456939</v>
      </c>
      <c r="Y81" s="46">
        <f>(SUM($AA$18:$AA$29)-SUM($AA$36,$AA$42,$AA$48,$AA$54,$AA$60,$AA$66,$AA$72:$AA$79))*Parameters!$B$37/12</f>
        <v>31904.02881456939</v>
      </c>
      <c r="Z81" s="46">
        <f>SUMIF($B$13:$Y$13,"Yes",B81:Y81)</f>
        <v>414752.3745894021</v>
      </c>
      <c r="AA81" s="46">
        <f>SUM(B81:M81)</f>
        <v>382848.3457748327</v>
      </c>
      <c r="AB81" s="46">
        <f>SUM(B81:Y81)</f>
        <v>765696.6915496652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113847.3621479027</v>
      </c>
      <c r="C88" s="19">
        <f>SUM(C72:C82,C66,C60,C54,C48,C42,C36)</f>
        <v>69287.36214790272</v>
      </c>
      <c r="D88" s="19">
        <f>SUM(D72:D82,D66,D60,D54,D48,D42,D36)</f>
        <v>69287.36214790272</v>
      </c>
      <c r="E88" s="19">
        <f>SUM(E72:E82,E66,E60,E54,E48,E42,E36)</f>
        <v>165287.3621479027</v>
      </c>
      <c r="F88" s="19">
        <f>SUM(F72:F82,F66,F60,F54,F48,F42,F36)</f>
        <v>69287.36214790272</v>
      </c>
      <c r="G88" s="19">
        <f>SUM(G72:G82,G66,G60,G54,G48,G42,G36)</f>
        <v>69287.36214790272</v>
      </c>
      <c r="H88" s="19">
        <f>SUM(H72:H82,H66,H60,H54,H48,H42,H36)</f>
        <v>195152.1616746396</v>
      </c>
      <c r="I88" s="19">
        <f>SUM(I72:I82,I66,I60,I54,I48,I42,I36)</f>
        <v>52487.36214790272</v>
      </c>
      <c r="J88" s="19">
        <f>SUM(J72:J82,J66,J60,J54,J48,J42,J36)</f>
        <v>52487.36214790272</v>
      </c>
      <c r="K88" s="19">
        <f>SUM(K72:K82,K66,K60,K54,K48,K42,K36)</f>
        <v>142487.3621479027</v>
      </c>
      <c r="L88" s="19">
        <f>SUM(L72:L82,L66,L60,L54,L48,L42,L36)</f>
        <v>52487.36214790272</v>
      </c>
      <c r="M88" s="19">
        <f>SUM(M72:M82,M66,M60,M54,M48,M42,M36)</f>
        <v>52487.36214790272</v>
      </c>
      <c r="N88" s="19">
        <f>SUM(N72:N82,N66,N60,N54,N48,N42,N36)</f>
        <v>113847.3621479027</v>
      </c>
      <c r="O88" s="19">
        <f>SUM(O72:O82,O66,O60,O54,O48,O42,O36)</f>
        <v>69287.36214790272</v>
      </c>
      <c r="P88" s="19">
        <f>SUM(P72:P82,P66,P60,P54,P48,P42,P36)</f>
        <v>69287.36214790272</v>
      </c>
      <c r="Q88" s="19">
        <f>SUM(Q72:Q82,Q66,Q60,Q54,Q48,Q42,Q36)</f>
        <v>165287.3621479027</v>
      </c>
      <c r="R88" s="19">
        <f>SUM(R72:R82,R66,R60,R54,R48,R42,R36)</f>
        <v>69287.36214790272</v>
      </c>
      <c r="S88" s="19">
        <f>SUM(S72:S82,S66,S60,S54,S48,S42,S36)</f>
        <v>69287.36214790272</v>
      </c>
      <c r="T88" s="19">
        <f>SUM(T72:T82,T66,T60,T54,T48,T42,T36)</f>
        <v>195152.1616746396</v>
      </c>
      <c r="U88" s="19">
        <f>SUM(U72:U82,U66,U60,U54,U48,U42,U36)</f>
        <v>52487.36214790272</v>
      </c>
      <c r="V88" s="19">
        <f>SUM(V72:V82,V66,V60,V54,V48,V42,V36)</f>
        <v>52487.36214790272</v>
      </c>
      <c r="W88" s="19">
        <f>SUM(W72:W82,W66,W60,W54,W48,W42,W36)</f>
        <v>142487.3621479027</v>
      </c>
      <c r="X88" s="19">
        <f>SUM(X72:X82,X66,X60,X54,X48,X42,X36)</f>
        <v>52487.36214790272</v>
      </c>
      <c r="Y88" s="19">
        <f>SUM(Y72:Y82,Y66,Y60,Y54,Y48,Y42,Y36)</f>
        <v>52487.36214790272</v>
      </c>
      <c r="Z88" s="19">
        <f>SUMIF($B$13:$Y$13,"Yes",B88:Y88)</f>
        <v>1217720.507449472</v>
      </c>
      <c r="AA88" s="19">
        <f>SUM(B88:M88)</f>
        <v>1103873.14530157</v>
      </c>
      <c r="AB88" s="19">
        <f>SUM(B88:Y88)</f>
        <v>2207746.290603138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1050000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25000000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650000</v>
      </c>
    </row>
    <row r="101" spans="1:30" customHeight="1" ht="15.75">
      <c r="A101" s="1" t="s">
        <v>67</v>
      </c>
      <c r="B101" s="19">
        <f>SUM(B94:B100)</f>
        <v>27815000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9000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30</v>
      </c>
      <c r="D19" s="145"/>
      <c r="E19" s="20"/>
      <c r="F19" s="145" t="s">
        <v>93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50</v>
      </c>
      <c r="D20" s="147"/>
      <c r="E20" s="16"/>
      <c r="F20" s="147" t="s">
        <v>93</v>
      </c>
      <c r="G20" s="16"/>
      <c r="H20" s="16"/>
      <c r="I20" s="147" t="s">
        <v>110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30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9000</v>
      </c>
    </row>
    <row r="31" spans="1:48">
      <c r="A31" s="5" t="s">
        <v>118</v>
      </c>
      <c r="B31" s="158">
        <v>3000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450000</v>
      </c>
    </row>
    <row r="46" spans="1:48" customHeight="1" ht="30">
      <c r="A46" s="57" t="s">
        <v>132</v>
      </c>
      <c r="B46" s="161">
        <v>350000</v>
      </c>
    </row>
    <row r="47" spans="1:48" customHeight="1" ht="30">
      <c r="A47" s="57" t="s">
        <v>133</v>
      </c>
      <c r="B47" s="161">
        <v>250000</v>
      </c>
    </row>
    <row r="48" spans="1:48" customHeight="1" ht="30">
      <c r="A48" s="57" t="s">
        <v>134</v>
      </c>
      <c r="B48" s="161">
        <v>650000</v>
      </c>
    </row>
    <row r="49" spans="1:48" customHeight="1" ht="30">
      <c r="A49" s="57" t="s">
        <v>135</v>
      </c>
      <c r="B49" s="161">
        <v>65000</v>
      </c>
    </row>
    <row r="50" spans="1:48">
      <c r="A50" s="43"/>
      <c r="B50" s="36"/>
    </row>
    <row r="51" spans="1:48">
      <c r="A51" s="58" t="s">
        <v>136</v>
      </c>
      <c r="B51" s="161">
        <v>9000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200000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148</v>
      </c>
    </row>
    <row r="58" spans="1:48">
      <c r="A58" s="157">
        <v>9000</v>
      </c>
      <c r="B58" s="157">
        <v>0</v>
      </c>
      <c r="C58" s="164" t="s">
        <v>149</v>
      </c>
      <c r="D58" s="165" t="s">
        <v>150</v>
      </c>
      <c r="E58" s="165" t="s">
        <v>93</v>
      </c>
      <c r="F58" s="165" t="s">
        <v>151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153</v>
      </c>
      <c r="C65" s="10" t="s">
        <v>154</v>
      </c>
    </row>
    <row r="66" spans="1:48">
      <c r="A66" s="142" t="s">
        <v>155</v>
      </c>
      <c r="B66" s="159">
        <v>42044</v>
      </c>
      <c r="C66" s="163">
        <v>12541</v>
      </c>
      <c r="D66" s="49">
        <f>INDEX(Parameters!$D$79:$D$90,MATCH(Inputs!A66,Parameters!$C$79:$C$90,0))</f>
        <v>1</v>
      </c>
    </row>
    <row r="67" spans="1:48">
      <c r="A67" s="143" t="s">
        <v>156</v>
      </c>
      <c r="B67" s="157">
        <v>47465</v>
      </c>
      <c r="C67" s="165">
        <v>25410</v>
      </c>
      <c r="D67" s="49">
        <f>INDEX(Parameters!$D$79:$D$90,MATCH(Inputs!A67,Parameters!$C$79:$C$90,0))</f>
        <v>12</v>
      </c>
    </row>
    <row r="68" spans="1:48">
      <c r="A68" s="143" t="s">
        <v>157</v>
      </c>
      <c r="B68" s="157">
        <v>23697</v>
      </c>
      <c r="C68" s="165">
        <v>12541</v>
      </c>
      <c r="D68" s="49">
        <f>INDEX(Parameters!$D$79:$D$90,MATCH(Inputs!A68,Parameters!$C$79:$C$90,0))</f>
        <v>11</v>
      </c>
    </row>
    <row r="69" spans="1:48">
      <c r="A69" s="143" t="s">
        <v>158</v>
      </c>
      <c r="B69" s="157">
        <v>114480</v>
      </c>
      <c r="C69" s="165">
        <v>256980</v>
      </c>
      <c r="D69" s="49">
        <f>INDEX(Parameters!$D$79:$D$90,MATCH(Inputs!A69,Parameters!$C$79:$C$90,0))</f>
        <v>10</v>
      </c>
    </row>
    <row r="70" spans="1:48">
      <c r="A70" s="143" t="s">
        <v>159</v>
      </c>
      <c r="B70" s="157">
        <v>127570</v>
      </c>
      <c r="C70" s="165">
        <v>25698</v>
      </c>
      <c r="D70" s="49">
        <f>INDEX(Parameters!$D$79:$D$90,MATCH(Inputs!A70,Parameters!$C$79:$C$90,0))</f>
        <v>9</v>
      </c>
    </row>
    <row r="71" spans="1:48">
      <c r="A71" s="144" t="s">
        <v>160</v>
      </c>
      <c r="B71" s="158">
        <v>104480</v>
      </c>
      <c r="C71" s="167">
        <v>1585</v>
      </c>
      <c r="D71" s="49">
        <f>INDEX(Parameters!$D$79:$D$90,MATCH(Inputs!A71,Parameters!$C$79:$C$90,0))</f>
        <v>8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43313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43313</v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18992.34772320367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378897.3370779132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43682.39976336844</v>
      </c>
      <c r="AB4" s="33">
        <f>H4*IFERROR(INDEX(Parameters!$A$3:$AI$17,MATCH(Calculations!A4,Parameters!$A$3:$A$17,0),MATCH(Parameters!$O$3,Parameters!$A$3:$AI$3,0)),AVERAGE(Parameters!$O$4:$O$17))*(1-Inputs!$B$25/100)</f>
        <v>84000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15995.57862963579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873358.5931781138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38500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105000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18000</v>
      </c>
      <c r="S14" s="63">
        <f>IFERROR(D14*INDEX(Parameters!$A$22:$P$29,MATCH(Calculations!$A14,Parameters!$A$22:$A$29,0),MATCH(Parameters!$N$22,Parameters!$A$22:$P$22,0)),"")</f>
        <v>21000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9000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166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167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169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233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234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319</v>
      </c>
      <c r="I52" s="12" t="s">
        <v>129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110</v>
      </c>
      <c r="H77" s="12" t="s">
        <v>319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129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172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