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<sst xmlns="http://schemas.openxmlformats.org/spreadsheetml/2006/main" uniqueCount="364">
  <si>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</si>
  <si>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</si>
  <si>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</si>
  <si>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</si>
  <si>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</si>
  <si>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</si>
  <si>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</si>
  <si>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</si>
  <si>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</si>
  <si>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</si>
  <si>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</si>
  <si>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</si>
  <si>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</si>
  <si>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</si>
  <si>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</si>
  <si>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</si>
  <si>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</si>
  <si>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</si>
  <si>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</si>
  <si>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</si>
  <si>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</si>
  <si>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</si>
  <si>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</si>
  <si>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</si>
  <si>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</si>
  <si>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</si>
  <si>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</si>
  <si>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</si>
  <si>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</si>
  <si>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</si>
  <si>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</si>
  <si>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</si>
  <si>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</si>
  <si>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</si>
  <si>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</si>
  <si>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</si>
  <si>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</si>
  <si>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</si>
  <si>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</si>
  <si>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</si>
  <si>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</si>
  <si>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</si>
  <si>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</si>
  <si>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</si>
  <si>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</si>
  <si>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</si>
  <si>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</si>
  <si>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</si>
  <si>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</si>
  <si>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</si>
  <si>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</si>
  <si>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</si>
  <si>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</si>
  <si>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</si>
  <si>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</si>
  <si>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</si>
  <si>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</si>
  <si>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</si>
  <si>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</si>
  <si>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</si>
  <si>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</si>
  <si>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</si>
  <si>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</si>
  <si>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</si>
  <si>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</si>
  <si>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</si>
  <si>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</si>
  <si>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</si>
  <si>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</si>
  <si>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</si>
  <si>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</si>
  <si>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</si>
  <si>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</si>
  <si>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</si>
  <si>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</si>
  <si>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</si>
  <si>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</si>
  <si>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</si>
  <si>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</si>
  <si>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</si>
  <si>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</si>
  <si>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</si>
  <si>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</si>
  <si>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</si>
  <si>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</si>
  <si>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</si>
  <si>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</si>
  <si>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</si>
  <si>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</si>
  <si>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</si>
  <si>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</si>
  <si>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</si>
  <si>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</si>
  <si>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</si>
  <si>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</si>
  <si>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</si>
  <si>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</si>
  <si>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</si>
  <si>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</si>
  <si>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</si>
  <si>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</si>
  <si>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</si>
  <si>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</si>
  <si>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</si>
  <si>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</si>
  <si>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</si>
  <si>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</si>
  <si>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</si>
  <si>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</si>
  <si>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</si>
  <si>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</si>
  <si>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</si>
  <si>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</si>
  <si>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</si>
  <si>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</si>
  <si>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</si>
  <si>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</si>
  <si>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</si>
  <si>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</si>
  <si>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</si>
  <si>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</si>
  <si>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</si>
  <si>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</si>
  <si>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</si>
  <si>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</si>
  <si>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</si>
  <si>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</si>
  <si>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</si>
  <si>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</si>
  <si>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</si>
  <si>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</si>
  <si>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</si>
  <si>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</si>
  <si>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</si>
  <si>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</si>
  <si>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</si>
  <si>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</si>
  <si>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</si>
  <si>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</si>
  <si>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</si>
  <si>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</si>
  <si>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</si>
  <si>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</si>
  <si>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</si>
  <si>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</si>
  <si>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</si>
  <si>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2018/2/9</t>
  </si>
  <si>
    <t>Loan terms</t>
  </si>
  <si>
    <t>Expected disbursement date</t>
  </si>
  <si>
    <t>Expected first repayment date</t>
  </si>
  <si>
    <t>2018/3/12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</si>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</sst>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1.341666666666667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0.4595588235294117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43750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38960</v>
      </c>
      <c r="I7" s="80">
        <f>IF(ISERROR(VLOOKUP(MONTH(I5),Inputs!$D$66:$D$71,1,0)),"",INDEX(Inputs!$B$66:$B$71,MATCH(MONTH(Output!I5),Inputs!$D$66:$D$71,0))-INDEX(Inputs!$C$66:$C$71,MATCH(MONTH(Output!I5),Inputs!$D$66:$D$71,0)))</f>
        <v>10307</v>
      </c>
      <c r="J7" s="80">
        <f>IF(ISERROR(VLOOKUP(MONTH(J5),Inputs!$D$66:$D$71,1,0)),"",INDEX(Inputs!$B$66:$B$71,MATCH(MONTH(Output!J5),Inputs!$D$66:$D$71,0))-INDEX(Inputs!$C$66:$C$71,MATCH(MONTH(Output!J5),Inputs!$D$66:$D$71,0)))</f>
        <v>31214</v>
      </c>
      <c r="K7" s="80">
        <f>IF(ISERROR(VLOOKUP(MONTH(K5),Inputs!$D$66:$D$71,1,0)),"",INDEX(Inputs!$B$66:$B$71,MATCH(MONTH(Output!K5),Inputs!$D$66:$D$71,0))-INDEX(Inputs!$C$66:$C$71,MATCH(MONTH(Output!K5),Inputs!$D$66:$D$71,0)))</f>
        <v>32463</v>
      </c>
      <c r="L7" s="80">
        <f>IF(ISERROR(VLOOKUP(MONTH(L5),Inputs!$D$66:$D$71,1,0)),"",INDEX(Inputs!$B$66:$B$71,MATCH(MONTH(Output!L5),Inputs!$D$66:$D$71,0))-INDEX(Inputs!$C$66:$C$71,MATCH(MONTH(Output!L5),Inputs!$D$66:$D$71,0)))</f>
        <v>306152</v>
      </c>
      <c r="M7" s="80">
        <f>IF(ISERROR(VLOOKUP(MONTH(M5),Inputs!$D$66:$D$71,1,0)),"",INDEX(Inputs!$B$66:$B$71,MATCH(MONTH(Output!M5),Inputs!$D$66:$D$71,0))-INDEX(Inputs!$C$66:$C$71,MATCH(MONTH(Output!M5),Inputs!$D$66:$D$71,0)))</f>
        <v>4854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38960</v>
      </c>
      <c r="U7" s="80">
        <f>IF(ISERROR(VLOOKUP(MONTH(U5),Inputs!$D$66:$D$71,1,0)),"",INDEX(Inputs!$B$66:$B$71,MATCH(MONTH(Output!U5),Inputs!$D$66:$D$71,0))-INDEX(Inputs!$C$66:$C$71,MATCH(MONTH(Output!U5),Inputs!$D$66:$D$71,0)))</f>
        <v>10307</v>
      </c>
      <c r="V7" s="80">
        <f>IF(ISERROR(VLOOKUP(MONTH(V5),Inputs!$D$66:$D$71,1,0)),"",INDEX(Inputs!$B$66:$B$71,MATCH(MONTH(Output!V5),Inputs!$D$66:$D$71,0))-INDEX(Inputs!$C$66:$C$71,MATCH(MONTH(Output!V5),Inputs!$D$66:$D$71,0)))</f>
        <v>31214</v>
      </c>
      <c r="W7" s="80">
        <f>IF(ISERROR(VLOOKUP(MONTH(W5),Inputs!$D$66:$D$71,1,0)),"",INDEX(Inputs!$B$66:$B$71,MATCH(MONTH(Output!W5),Inputs!$D$66:$D$71,0))-INDEX(Inputs!$C$66:$C$71,MATCH(MONTH(Output!W5),Inputs!$D$66:$D$71,0)))</f>
        <v>32463</v>
      </c>
      <c r="X7" s="80">
        <f>IF(ISERROR(VLOOKUP(MONTH(X5),Inputs!$D$66:$D$71,1,0)),"",INDEX(Inputs!$B$66:$B$71,MATCH(MONTH(Output!X5),Inputs!$D$66:$D$71,0))-INDEX(Inputs!$C$66:$C$71,MATCH(MONTH(Output!X5),Inputs!$D$66:$D$71,0)))</f>
        <v>306152</v>
      </c>
      <c r="Y7" s="80">
        <f>IF(ISERROR(VLOOKUP(MONTH(Y5),Inputs!$D$66:$D$71,1,0)),"",INDEX(Inputs!$B$66:$B$71,MATCH(MONTH(Output!Y5),Inputs!$D$66:$D$71,0))-INDEX(Inputs!$C$66:$C$71,MATCH(MONTH(Output!Y5),Inputs!$D$66:$D$71,0)))</f>
        <v>4854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750000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750000</v>
      </c>
      <c r="AA9" s="75">
        <f>SUM(B9:M9)</f>
        <v>750000</v>
      </c>
      <c r="AB9" s="75">
        <f>SUM(B9:Y9)</f>
        <v>750000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43750</v>
      </c>
      <c r="D10" s="37">
        <f>SUMPRODUCT((Calculations!$D$33:$D$84=Output!D5)+0,Calculations!$C$33:$C$84)</f>
        <v>43750</v>
      </c>
      <c r="E10" s="37">
        <f>SUMPRODUCT((Calculations!$D$33:$D$84=Output!E5)+0,Calculations!$C$33:$C$84)</f>
        <v>43750</v>
      </c>
      <c r="F10" s="37">
        <f>SUMPRODUCT((Calculations!$D$33:$D$84=Output!F5)+0,Calculations!$C$33:$C$84)</f>
        <v>43750</v>
      </c>
      <c r="G10" s="37">
        <f>SUMPRODUCT((Calculations!$D$33:$D$84=Output!G5)+0,Calculations!$C$33:$C$84)</f>
        <v>43750</v>
      </c>
      <c r="H10" s="37">
        <f>SUMPRODUCT((Calculations!$D$33:$D$84=Output!H5)+0,Calculations!$C$33:$C$84)</f>
        <v>43750</v>
      </c>
      <c r="I10" s="37">
        <f>SUMPRODUCT((Calculations!$D$33:$D$84=Output!I5)+0,Calculations!$C$33:$C$84)</f>
        <v>43750</v>
      </c>
      <c r="J10" s="37">
        <f>SUMPRODUCT((Calculations!$D$33:$D$84=Output!J5)+0,Calculations!$C$33:$C$84)</f>
        <v>43750</v>
      </c>
      <c r="K10" s="37">
        <f>SUMPRODUCT((Calculations!$D$33:$D$84=Output!K5)+0,Calculations!$C$33:$C$84)</f>
        <v>43750</v>
      </c>
      <c r="L10" s="37">
        <f>SUMPRODUCT((Calculations!$D$33:$D$84=Output!L5)+0,Calculations!$C$33:$C$84)</f>
        <v>43750</v>
      </c>
      <c r="M10" s="37">
        <f>SUMPRODUCT((Calculations!$D$33:$D$84=Output!M5)+0,Calculations!$C$33:$C$84)</f>
        <v>43750</v>
      </c>
      <c r="N10" s="37">
        <f>SUMPRODUCT((Calculations!$D$33:$D$84=Output!N5)+0,Calculations!$C$33:$C$84)</f>
        <v>43750</v>
      </c>
      <c r="O10" s="37">
        <f>SUMPRODUCT((Calculations!$D$33:$D$84=Output!O5)+0,Calculations!$C$33:$C$84)</f>
        <v>43750</v>
      </c>
      <c r="P10" s="37">
        <f>SUMPRODUCT((Calculations!$D$33:$D$84=Output!P5)+0,Calculations!$C$33:$C$84)</f>
        <v>43750</v>
      </c>
      <c r="Q10" s="37">
        <f>SUMPRODUCT((Calculations!$D$33:$D$84=Output!Q5)+0,Calculations!$C$33:$C$84)</f>
        <v>43750</v>
      </c>
      <c r="R10" s="37">
        <f>SUMPRODUCT((Calculations!$D$33:$D$84=Output!R5)+0,Calculations!$C$33:$C$84)</f>
        <v>43750</v>
      </c>
      <c r="S10" s="37">
        <f>SUMPRODUCT((Calculations!$D$33:$D$84=Output!S5)+0,Calculations!$C$33:$C$84)</f>
        <v>43750</v>
      </c>
      <c r="T10" s="37">
        <f>SUMPRODUCT((Calculations!$D$33:$D$84=Output!T5)+0,Calculations!$C$33:$C$84)</f>
        <v>43750</v>
      </c>
      <c r="U10" s="37">
        <f>SUMPRODUCT((Calculations!$D$33:$D$84=Output!U5)+0,Calculations!$C$33:$C$84)</f>
        <v>43750</v>
      </c>
      <c r="V10" s="37">
        <f>SUMPRODUCT((Calculations!$D$33:$D$84=Output!V5)+0,Calculations!$C$33:$C$84)</f>
        <v>43750</v>
      </c>
      <c r="W10" s="37">
        <f>SUMPRODUCT((Calculations!$D$33:$D$84=Output!W5)+0,Calculations!$C$33:$C$84)</f>
        <v>43750</v>
      </c>
      <c r="X10" s="37">
        <f>SUMPRODUCT((Calculations!$D$33:$D$84=Output!X5)+0,Calculations!$C$33:$C$84)</f>
        <v>43750</v>
      </c>
      <c r="Y10" s="37">
        <f>SUMPRODUCT((Calculations!$D$33:$D$84=Output!Y5)+0,Calculations!$C$33:$C$84)</f>
        <v>43750</v>
      </c>
      <c r="Z10" s="37">
        <f>SUMIF($B$13:$Y$13,"Yes",B10:Y10)</f>
        <v>1006250</v>
      </c>
      <c r="AA10" s="37">
        <f>SUM(B10:M10)</f>
        <v>481250</v>
      </c>
      <c r="AB10" s="37">
        <f>SUM(B10:Y10)</f>
        <v>1006250</v>
      </c>
    </row>
    <row r="11" spans="1:30" customHeight="1" ht="15.75">
      <c r="A11" s="43" t="s">
        <v>31</v>
      </c>
      <c r="B11" s="80">
        <f>B6+B9-B10</f>
        <v>750000</v>
      </c>
      <c r="C11" s="80">
        <f>C6+C9-C10</f>
        <v>-43750</v>
      </c>
      <c r="D11" s="80">
        <f>D6+D9-D10</f>
        <v>-43750</v>
      </c>
      <c r="E11" s="80">
        <f>E6+E9-E10</f>
        <v>-43750</v>
      </c>
      <c r="F11" s="80">
        <f>F6+F9-F10</f>
        <v>-43750</v>
      </c>
      <c r="G11" s="80">
        <f>G6+G9-G10</f>
        <v>-43750</v>
      </c>
      <c r="H11" s="80">
        <f>H6+H9-H10</f>
        <v>-43750</v>
      </c>
      <c r="I11" s="80">
        <f>I6+I9-I10</f>
        <v>-43750</v>
      </c>
      <c r="J11" s="80">
        <f>J6+J9-J10</f>
        <v>-43750</v>
      </c>
      <c r="K11" s="80">
        <f>K6+K9-K10</f>
        <v>-43750</v>
      </c>
      <c r="L11" s="80">
        <f>L6+L9-L10</f>
        <v>-43750</v>
      </c>
      <c r="M11" s="80">
        <f>M6+M9-M10</f>
        <v>-43750</v>
      </c>
      <c r="N11" s="80">
        <f>N6+N9-N10</f>
        <v>-43750</v>
      </c>
      <c r="O11" s="80">
        <f>O6+O9-O10</f>
        <v>-43750</v>
      </c>
      <c r="P11" s="80">
        <f>P6+P9-P10</f>
        <v>-43750</v>
      </c>
      <c r="Q11" s="80">
        <f>Q6+Q9-Q10</f>
        <v>-43750</v>
      </c>
      <c r="R11" s="80">
        <f>R6+R9-R10</f>
        <v>-43750</v>
      </c>
      <c r="S11" s="80">
        <f>S6+S9-S10</f>
        <v>-43750</v>
      </c>
      <c r="T11" s="80">
        <f>T6+T9-T10</f>
        <v>-43750</v>
      </c>
      <c r="U11" s="80">
        <f>U6+U9-U10</f>
        <v>-43750</v>
      </c>
      <c r="V11" s="80">
        <f>V6+V9-V10</f>
        <v>-43750</v>
      </c>
      <c r="W11" s="80">
        <f>W6+W9-W10</f>
        <v>-43750</v>
      </c>
      <c r="X11" s="80">
        <f>X6+X9-X10</f>
        <v>-43750</v>
      </c>
      <c r="Y11" s="80">
        <f>Y6+Y9-Y10</f>
        <v>-43750</v>
      </c>
      <c r="Z11" s="85">
        <f>SUMIF($B$13:$Y$13,"Yes",B11:Y11)</f>
        <v>-256250</v>
      </c>
      <c r="AA11" s="80">
        <f>SUM(B11:M11)</f>
        <v>268750</v>
      </c>
      <c r="AB11" s="46">
        <f>SUM(B11:Y11)</f>
        <v>-256250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0.05833333333333333</v>
      </c>
      <c r="D12" s="82">
        <f>IF(D13="Yes",IF(SUM($B$10:D10)/(SUM($B$6:D6)+SUM($B$9:D9))&lt;0,999.99,SUM($B$10:D10)/(SUM($B$6:D6)+SUM($B$9:D9))),"")</f>
        <v>0.1166666666666667</v>
      </c>
      <c r="E12" s="82">
        <f>IF(E13="Yes",IF(SUM($B$10:E10)/(SUM($B$6:E6)+SUM($B$9:E9))&lt;0,999.99,SUM($B$10:E10)/(SUM($B$6:E6)+SUM($B$9:E9))),"")</f>
        <v>0.175</v>
      </c>
      <c r="F12" s="82">
        <f>IF(F13="Yes",IF(SUM($B$10:F10)/(SUM($B$6:F6)+SUM($B$9:F9))&lt;0,999.99,SUM($B$10:F10)/(SUM($B$6:F6)+SUM($B$9:F9))),"")</f>
        <v>0.2333333333333333</v>
      </c>
      <c r="G12" s="82">
        <f>IF(G13="Yes",IF(SUM($B$10:G10)/(SUM($B$6:G6)+SUM($B$9:G9))&lt;0,999.99,SUM($B$10:G10)/(SUM($B$6:G6)+SUM($B$9:G9))),"")</f>
        <v>0.2916666666666667</v>
      </c>
      <c r="H12" s="82">
        <f>IF(H13="Yes",IF(SUM($B$10:H10)/(SUM($B$6:H6)+SUM($B$9:H9))&lt;0,999.99,SUM($B$10:H10)/(SUM($B$6:H6)+SUM($B$9:H9))),"")</f>
        <v>0.35</v>
      </c>
      <c r="I12" s="82">
        <f>IF(I13="Yes",IF(SUM($B$10:I10)/(SUM($B$6:I6)+SUM($B$9:I9))&lt;0,999.99,SUM($B$10:I10)/(SUM($B$6:I6)+SUM($B$9:I9))),"")</f>
        <v>0.4083333333333333</v>
      </c>
      <c r="J12" s="82">
        <f>IF(J13="Yes",IF(SUM($B$10:J10)/(SUM($B$6:J6)+SUM($B$9:J9))&lt;0,999.99,SUM($B$10:J10)/(SUM($B$6:J6)+SUM($B$9:J9))),"")</f>
        <v>0.4666666666666667</v>
      </c>
      <c r="K12" s="82">
        <f>IF(K13="Yes",IF(SUM($B$10:K10)/(SUM($B$6:K6)+SUM($B$9:K9))&lt;0,999.99,SUM($B$10:K10)/(SUM($B$6:K6)+SUM($B$9:K9))),"")</f>
        <v>0.525</v>
      </c>
      <c r="L12" s="82">
        <f>IF(L13="Yes",IF(SUM($B$10:L10)/(SUM($B$6:L6)+SUM($B$9:L9))&lt;0,999.99,SUM($B$10:L10)/(SUM($B$6:L6)+SUM($B$9:L9))),"")</f>
        <v>0.5833333333333334</v>
      </c>
      <c r="M12" s="82">
        <f>IF(M13="Yes",IF(SUM($B$10:M10)/(SUM($B$6:M6)+SUM($B$9:M9))&lt;0,999.99,SUM($B$10:M10)/(SUM($B$6:M6)+SUM($B$9:M9))),"")</f>
        <v>0.6416666666666667</v>
      </c>
      <c r="N12" s="82">
        <f>IF(N13="Yes",IF(SUM($B$10:N10)/(SUM($B$6:N6)+SUM($B$9:N9))&lt;0,999.99,SUM($B$10:N10)/(SUM($B$6:N6)+SUM($B$9:N9))),"")</f>
        <v>0.7</v>
      </c>
      <c r="O12" s="82">
        <f>IF(O13="Yes",IF(SUM($B$10:O10)/(SUM($B$6:O6)+SUM($B$9:O9))&lt;0,999.99,SUM($B$10:O10)/(SUM($B$6:O6)+SUM($B$9:O9))),"")</f>
        <v>0.7583333333333333</v>
      </c>
      <c r="P12" s="82">
        <f>IF(P13="Yes",IF(SUM($B$10:P10)/(SUM($B$6:P6)+SUM($B$9:P9))&lt;0,999.99,SUM($B$10:P10)/(SUM($B$6:P6)+SUM($B$9:P9))),"")</f>
        <v>0.8166666666666667</v>
      </c>
      <c r="Q12" s="82">
        <f>IF(Q13="Yes",IF(SUM($B$10:Q10)/(SUM($B$6:Q6)+SUM($B$9:Q9))&lt;0,999.99,SUM($B$10:Q10)/(SUM($B$6:Q6)+SUM($B$9:Q9))),"")</f>
        <v>0.875</v>
      </c>
      <c r="R12" s="82">
        <f>IF(R13="Yes",IF(SUM($B$10:R10)/(SUM($B$6:R6)+SUM($B$9:R9))&lt;0,999.99,SUM($B$10:R10)/(SUM($B$6:R6)+SUM($B$9:R9))),"")</f>
        <v>0.9333333333333333</v>
      </c>
      <c r="S12" s="82">
        <f>IF(S13="Yes",IF(SUM($B$10:S10)/(SUM($B$6:S6)+SUM($B$9:S9))&lt;0,999.99,SUM($B$10:S10)/(SUM($B$6:S6)+SUM($B$9:S9))),"")</f>
        <v>0.9916666666666667</v>
      </c>
      <c r="T12" s="82">
        <f>IF(T13="Yes",IF(SUM($B$10:T10)/(SUM($B$6:T6)+SUM($B$9:T9))&lt;0,999.99,SUM($B$10:T10)/(SUM($B$6:T6)+SUM($B$9:T9))),"")</f>
        <v>1.05</v>
      </c>
      <c r="U12" s="82">
        <f>IF(U13="Yes",IF(SUM($B$10:U10)/(SUM($B$6:U6)+SUM($B$9:U9))&lt;0,999.99,SUM($B$10:U10)/(SUM($B$6:U6)+SUM($B$9:U9))),"")</f>
        <v>1.108333333333333</v>
      </c>
      <c r="V12" s="82">
        <f>IF(V13="Yes",IF(SUM($B$10:V10)/(SUM($B$6:V6)+SUM($B$9:V9))&lt;0,999.99,SUM($B$10:V10)/(SUM($B$6:V6)+SUM($B$9:V9))),"")</f>
        <v>1.166666666666667</v>
      </c>
      <c r="W12" s="82">
        <f>IF(W13="Yes",IF(SUM($B$10:W10)/(SUM($B$6:W6)+SUM($B$9:W9))&lt;0,999.99,SUM($B$10:W10)/(SUM($B$6:W6)+SUM($B$9:W9))),"")</f>
        <v>1.225</v>
      </c>
      <c r="X12" s="82">
        <f>IF(X13="Yes",IF(SUM($B$10:X10)/(SUM($B$6:X6)+SUM($B$9:X9))&lt;0,999.99,SUM($B$10:X10)/(SUM($B$6:X6)+SUM($B$9:X9))),"")</f>
        <v>1.283333333333333</v>
      </c>
      <c r="Y12" s="82">
        <f>IF(Y13="Yes",IF(SUM($B$10:Y10)/(SUM($B$6:Y6)+SUM($B$9:Y9))&lt;0,999.99,SUM($B$10:Y10)/(SUM($B$6:Y6)+SUM($B$9:Y9))),"")</f>
        <v>1.341666666666667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32000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1632000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750000</v>
      </c>
    </row>
    <row r="107" spans="1:30" customHeight="1" ht="15.75">
      <c r="A107" s="1" t="s">
        <v>72</v>
      </c>
      <c r="B107" s="19">
        <f>SUM(B104:B106)</f>
        <v>750000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0</v>
      </c>
    </row>
    <row r="46" spans="1:48" customHeight="1" ht="30">
      <c r="A46" s="57" t="s">
        <v>122</v>
      </c>
      <c r="B46" s="161">
        <v>500000</v>
      </c>
    </row>
    <row r="47" spans="1:48" customHeight="1" ht="30">
      <c r="A47" s="57" t="s">
        <v>123</v>
      </c>
      <c r="B47" s="161">
        <v>300000</v>
      </c>
    </row>
    <row r="48" spans="1:48" customHeight="1" ht="30">
      <c r="A48" s="57" t="s">
        <v>124</v>
      </c>
      <c r="B48" s="161">
        <v>800000</v>
      </c>
    </row>
    <row r="49" spans="1:48" customHeight="1" ht="30">
      <c r="A49" s="57" t="s">
        <v>125</v>
      </c>
      <c r="B49" s="161">
        <v>32000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325012</v>
      </c>
      <c r="C66" s="163">
        <v>320158</v>
      </c>
      <c r="D66" s="49">
        <f>INDEX(Parameters!$D$79:$D$90,MATCH(Inputs!A66,Parameters!$C$79:$C$90,0))</f>
        <v>1</v>
      </c>
    </row>
    <row r="67" spans="1:48">
      <c r="A67" s="143" t="s">
        <v>138</v>
      </c>
      <c r="B67" s="157">
        <v>452012</v>
      </c>
      <c r="C67" s="165">
        <v>145860</v>
      </c>
      <c r="D67" s="49">
        <f>INDEX(Parameters!$D$79:$D$90,MATCH(Inputs!A67,Parameters!$C$79:$C$90,0))</f>
        <v>12</v>
      </c>
    </row>
    <row r="68" spans="1:48">
      <c r="A68" s="143" t="s">
        <v>139</v>
      </c>
      <c r="B68" s="157">
        <v>358264</v>
      </c>
      <c r="C68" s="165">
        <v>325801</v>
      </c>
      <c r="D68" s="49">
        <f>INDEX(Parameters!$D$79:$D$90,MATCH(Inputs!A68,Parameters!$C$79:$C$90,0))</f>
        <v>11</v>
      </c>
    </row>
    <row r="69" spans="1:48">
      <c r="A69" s="143" t="s">
        <v>140</v>
      </c>
      <c r="B69" s="157">
        <v>268015</v>
      </c>
      <c r="C69" s="165">
        <v>236801</v>
      </c>
      <c r="D69" s="49">
        <f>INDEX(Parameters!$D$79:$D$90,MATCH(Inputs!A69,Parameters!$C$79:$C$90,0))</f>
        <v>10</v>
      </c>
    </row>
    <row r="70" spans="1:48">
      <c r="A70" s="143" t="s">
        <v>141</v>
      </c>
      <c r="B70" s="157">
        <v>502365</v>
      </c>
      <c r="C70" s="165">
        <v>492058</v>
      </c>
      <c r="D70" s="49">
        <f>INDEX(Parameters!$D$79:$D$90,MATCH(Inputs!A70,Parameters!$C$79:$C$90,0))</f>
        <v>9</v>
      </c>
    </row>
    <row r="71" spans="1:48">
      <c r="A71" s="144" t="s">
        <v>142</v>
      </c>
      <c r="B71" s="158">
        <v>236985</v>
      </c>
      <c r="C71" s="167">
        <v>198025</v>
      </c>
      <c r="D71" s="49">
        <f>INDEX(Parameters!$D$79:$D$90,MATCH(Inputs!A71,Parameters!$C$79:$C$90,0))</f>
        <v>8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4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750000</v>
      </c>
    </row>
    <row r="82" spans="1:48">
      <c r="A82" t="s">
        <v>152</v>
      </c>
      <c r="B82" s="161">
        <v>20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24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43171</v>
      </c>
      <c r="C33" s="27">
        <f>IF(B33&lt;&gt;"",IF(COUNT($A$33:A33)&lt;=$G$39,0,$G$41)+IF(COUNT($A$33:A33)&lt;=$G$40,0,$G$42),0)</f>
        <v>43750</v>
      </c>
      <c r="D33" s="170">
        <f>IFERROR(DATE(YEAR(B33),MONTH(B33),1)," ")</f>
        <v>43160</v>
      </c>
      <c r="F33" t="s">
        <v>148</v>
      </c>
      <c r="G33" s="128">
        <f>IF(Inputs!B79="","",DATE(YEAR(Inputs!B79),MONTH(Inputs!B79),DAY(Inputs!B79)))</f>
        <v>43140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43202</v>
      </c>
      <c r="C34" s="27">
        <f>IF(B34&lt;&gt;"",IF(COUNT($A$33:A34)&lt;=$G$39,0,$G$41)+IF(COUNT($A$33:A34)&lt;=$G$40,0,$G$42),0)</f>
        <v>43750</v>
      </c>
      <c r="D34" s="170">
        <f>IFERROR(DATE(YEAR(B34),MONTH(B34),1)," ")</f>
        <v>43191</v>
      </c>
      <c r="F34" t="s">
        <v>149</v>
      </c>
      <c r="G34" s="128">
        <f>IF(Inputs!B80="","",DATE(YEAR(Inputs!B80),MONTH(Inputs!B80),DAY(Inputs!B80)))</f>
        <v>43171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43232</v>
      </c>
      <c r="C35" s="27">
        <f>IF(B35&lt;&gt;"",IF(COUNT($A$33:A35)&lt;=$G$39,0,$G$41)+IF(COUNT($A$33:A35)&lt;=$G$40,0,$G$42),0)</f>
        <v>43750</v>
      </c>
      <c r="D35" s="170">
        <f>IFERROR(DATE(YEAR(B35),MONTH(B35),1)," ")</f>
        <v>43221</v>
      </c>
      <c r="F35" t="s">
        <v>151</v>
      </c>
      <c r="G35" s="27">
        <f>Inputs!B81</f>
        <v>750000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43263</v>
      </c>
      <c r="C36" s="27">
        <f>IF(B36&lt;&gt;"",IF(COUNT($A$33:A36)&lt;=$G$39,0,$G$41)+IF(COUNT($A$33:A36)&lt;=$G$40,0,$G$42),0)</f>
        <v>43750</v>
      </c>
      <c r="D36" s="170">
        <f>IFERROR(DATE(YEAR(B36),MONTH(B36),1)," ")</f>
        <v>43252</v>
      </c>
      <c r="F36" t="s">
        <v>152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43293</v>
      </c>
      <c r="C37" s="27">
        <f>IF(B37&lt;&gt;"",IF(COUNT($A$33:A37)&lt;=$G$39,0,$G$41)+IF(COUNT($A$33:A37)&lt;=$G$40,0,$G$42),0)</f>
        <v>43750</v>
      </c>
      <c r="D37" s="170">
        <f>IFERROR(DATE(YEAR(B37),MONTH(B37),1)," ")</f>
        <v>43282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43324</v>
      </c>
      <c r="C38" s="27">
        <f>IF(B38&lt;&gt;"",IF(COUNT($A$33:A38)&lt;=$G$39,0,$G$41)+IF(COUNT($A$33:A38)&lt;=$G$40,0,$G$42),0)</f>
        <v>43750</v>
      </c>
      <c r="D38" s="170">
        <f>IFERROR(DATE(YEAR(B38),MONTH(B38),1)," ")</f>
        <v>43313</v>
      </c>
      <c r="F38" t="s">
        <v>214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43355</v>
      </c>
      <c r="C39" s="27">
        <f>IF(B39&lt;&gt;"",IF(COUNT($A$33:A39)&lt;=$G$39,0,$G$41)+IF(COUNT($A$33:A39)&lt;=$G$40,0,$G$42),0)</f>
        <v>43750</v>
      </c>
      <c r="D39" s="170">
        <f>IFERROR(DATE(YEAR(B39),MONTH(B39),1)," ")</f>
        <v>43344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43385</v>
      </c>
      <c r="C40" s="27">
        <f>IF(B40&lt;&gt;"",IF(COUNT($A$33:A40)&lt;=$G$39,0,$G$41)+IF(COUNT($A$33:A40)&lt;=$G$40,0,$G$42),0)</f>
        <v>43750</v>
      </c>
      <c r="D40" s="170">
        <f>IFERROR(DATE(YEAR(B40),MONTH(B40),1)," ")</f>
        <v>43374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43416</v>
      </c>
      <c r="C41" s="27">
        <f>IF(B41&lt;&gt;"",IF(COUNT($A$33:A41)&lt;=$G$39,0,$G$41)+IF(COUNT($A$33:A41)&lt;=$G$40,0,$G$42),0)</f>
        <v>43750</v>
      </c>
      <c r="D41" s="170">
        <f>IFERROR(DATE(YEAR(B41),MONTH(B41),1)," ")</f>
        <v>43405</v>
      </c>
      <c r="F41" t="s">
        <v>215</v>
      </c>
      <c r="G41" s="73">
        <f>IFERROR(G35/(G38-G39),"")</f>
        <v>31250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43446</v>
      </c>
      <c r="C42" s="27">
        <f>IF(B42&lt;&gt;"",IF(COUNT($A$33:A42)&lt;=$G$39,0,$G$41)+IF(COUNT($A$33:A42)&lt;=$G$40,0,$G$42),0)</f>
        <v>43750</v>
      </c>
      <c r="D42" s="170">
        <f>IFERROR(DATE(YEAR(B42),MONTH(B42),1)," ")</f>
        <v>43435</v>
      </c>
      <c r="F42" t="s">
        <v>216</v>
      </c>
      <c r="G42" s="73">
        <f>IFERROR(G35*G36*IF(G37="Monthly",G38/12,IF(G37="Fortnightly",G38/(365/14),G38/(365/28)))/(G38-G40),"")</f>
        <v>12500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43477</v>
      </c>
      <c r="C43" s="27">
        <f>IF(B43&lt;&gt;"",IF(COUNT($A$33:A43)&lt;=$G$39,0,$G$41)+IF(COUNT($A$33:A43)&lt;=$G$40,0,$G$42),0)</f>
        <v>43750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43508</v>
      </c>
      <c r="C44" s="27">
        <f>IF(B44&lt;&gt;"",IF(COUNT($A$33:A44)&lt;=$G$39,0,$G$41)+IF(COUNT($A$33:A44)&lt;=$G$40,0,$G$42),0)</f>
        <v>43750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43536</v>
      </c>
      <c r="C45" s="27">
        <f>IF(B45&lt;&gt;"",IF(COUNT($A$33:A45)&lt;=$G$39,0,$G$41)+IF(COUNT($A$33:A45)&lt;=$G$40,0,$G$42),0)</f>
        <v>43750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43567</v>
      </c>
      <c r="C46" s="27">
        <f>IF(B46&lt;&gt;"",IF(COUNT($A$33:A46)&lt;=$G$39,0,$G$41)+IF(COUNT($A$33:A46)&lt;=$G$40,0,$G$42),0)</f>
        <v>43750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43597</v>
      </c>
      <c r="C47" s="27">
        <f>IF(B47&lt;&gt;"",IF(COUNT($A$33:A47)&lt;=$G$39,0,$G$41)+IF(COUNT($A$33:A47)&lt;=$G$40,0,$G$42),0)</f>
        <v>43750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43628</v>
      </c>
      <c r="C48" s="27">
        <f>IF(B48&lt;&gt;"",IF(COUNT($A$33:A48)&lt;=$G$39,0,$G$41)+IF(COUNT($A$33:A48)&lt;=$G$40,0,$G$42),0)</f>
        <v>43750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43658</v>
      </c>
      <c r="C49" s="27">
        <f>IF(B49&lt;&gt;"",IF(COUNT($A$33:A49)&lt;=$G$39,0,$G$41)+IF(COUNT($A$33:A49)&lt;=$G$40,0,$G$42),0)</f>
        <v>43750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43689</v>
      </c>
      <c r="C50" s="27">
        <f>IF(B50&lt;&gt;"",IF(COUNT($A$33:A50)&lt;=$G$39,0,$G$41)+IF(COUNT($A$33:A50)&lt;=$G$40,0,$G$42),0)</f>
        <v>43750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43720</v>
      </c>
      <c r="C51" s="27">
        <f>IF(B51&lt;&gt;"",IF(COUNT($A$33:A51)&lt;=$G$39,0,$G$41)+IF(COUNT($A$33:A51)&lt;=$G$40,0,$G$42),0)</f>
        <v>43750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43750</v>
      </c>
      <c r="C52" s="27">
        <f>IF(B52&lt;&gt;"",IF(COUNT($A$33:A52)&lt;=$G$39,0,$G$41)+IF(COUNT($A$33:A52)&lt;=$G$40,0,$G$42),0)</f>
        <v>43750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43781</v>
      </c>
      <c r="C53" s="27">
        <f>IF(B53&lt;&gt;"",IF(COUNT($A$33:A53)&lt;=$G$39,0,$G$41)+IF(COUNT($A$33:A53)&lt;=$G$40,0,$G$42),0)</f>
        <v>43750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43811</v>
      </c>
      <c r="C54" s="27">
        <f>IF(B54&lt;&gt;"",IF(COUNT($A$33:A54)&lt;=$G$39,0,$G$41)+IF(COUNT($A$33:A54)&lt;=$G$40,0,$G$42),0)</f>
        <v>43750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43842</v>
      </c>
      <c r="C55" s="27">
        <f>IF(B55&lt;&gt;"",IF(COUNT($A$33:A55)&lt;=$G$39,0,$G$41)+IF(COUNT($A$33:A55)&lt;=$G$40,0,$G$42),0)</f>
        <v>43750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43873</v>
      </c>
      <c r="C56" s="27">
        <f>IF(B56&lt;&gt;"",IF(COUNT($A$33:A56)&lt;=$G$39,0,$G$41)+IF(COUNT($A$33:A56)&lt;=$G$40,0,$G$42),0)</f>
        <v>43750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303</v>
      </c>
      <c r="C41" s="191" t="s">
        <v>115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306</v>
      </c>
      <c r="I52" s="12" t="s">
        <v>119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303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303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303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303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303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303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303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115</v>
      </c>
      <c r="B77" s="176">
        <v>0</v>
      </c>
      <c r="C77" s="12" t="s">
        <v>340</v>
      </c>
      <c r="E77" s="12" t="s">
        <v>303</v>
      </c>
      <c r="F77" s="12" t="s">
        <v>303</v>
      </c>
      <c r="G77" s="12" t="s">
        <v>341</v>
      </c>
      <c r="H77" s="12" t="s">
        <v>306</v>
      </c>
      <c r="I77" s="12" t="s">
        <v>342</v>
      </c>
      <c r="J77" s="136" t="s">
        <v>343</v>
      </c>
      <c r="K77" s="12" t="s">
        <v>303</v>
      </c>
      <c r="AJ77" s="12"/>
    </row>
    <row r="78" spans="1:36">
      <c r="A78" t="s">
        <v>303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119</v>
      </c>
      <c r="I78" s="12" t="s">
        <v>348</v>
      </c>
      <c r="J78" s="70" t="s">
        <v>349</v>
      </c>
      <c r="K78" s="12" t="s">
        <v>303</v>
      </c>
      <c r="AJ78" s="12"/>
    </row>
    <row r="79" spans="1:36">
      <c r="B79" s="176">
        <v>10</v>
      </c>
      <c r="C79" s="12" t="s">
        <v>137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154</v>
      </c>
      <c r="J79" s="70" t="s">
        <v>353</v>
      </c>
      <c r="K79" s="12" t="s">
        <v>303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115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115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139</v>
      </c>
      <c r="D89" s="12">
        <f>D88+1</f>
        <v>11</v>
      </c>
    </row>
    <row r="90" spans="1:36">
      <c r="C90" s="12" t="s">
        <v>138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