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<sst xmlns="http://schemas.openxmlformats.org/spreadsheetml/2006/main" uniqueCount="374">
  <si>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</si>
  <si>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</si>
  <si>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</si>
  <si>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</si>
  <si>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</si>
  <si>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</si>
  <si>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</si>
  <si>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</si>
  <si>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</si>
  <si>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</si>
  <si>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</si>
  <si>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</si>
  <si>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</si>
  <si>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</si>
  <si>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</si>
  <si>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</si>
  <si>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</si>
  <si>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</si>
  <si>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</si>
  <si>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</si>
  <si>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</si>
  <si>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</si>
  <si>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</si>
  <si>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</si>
  <si>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</si>
  <si>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</si>
  <si>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</si>
  <si>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</si>
  <si>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</si>
  <si>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</si>
  <si>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</si>
  <si>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</si>
  <si>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</si>
  <si>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</si>
  <si>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</si>
  <si>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</si>
  <si>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</si>
  <si>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</si>
  <si>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</si>
  <si>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</si>
  <si>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</si>
  <si>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</si>
  <si>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</si>
  <si>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</si>
  <si>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</si>
  <si>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</si>
  <si>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</si>
  <si>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</si>
  <si>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</si>
  <si>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</si>
  <si>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</si>
  <si>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</si>
  <si>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</si>
  <si>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</si>
  <si>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</si>
  <si>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</si>
  <si>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</si>
  <si>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</si>
  <si>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</si>
  <si>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</si>
  <si>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</si>
  <si>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</si>
  <si>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</si>
  <si>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</si>
  <si>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</si>
  <si>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</si>
  <si>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</si>
  <si>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</si>
  <si>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</si>
  <si>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</si>
  <si>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</si>
  <si>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</si>
  <si>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</si>
  <si>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</si>
  <si>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</si>
  <si>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</si>
  <si>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</si>
  <si>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</si>
  <si>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</si>
  <si>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</si>
  <si>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</si>
  <si>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</si>
  <si>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</si>
  <si>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</si>
  <si>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</si>
  <si>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</si>
  <si>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</si>
  <si>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</si>
  <si>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</si>
  <si>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</si>
  <si>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</si>
  <si>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Yes Inorganic fertizers</t>
  </si>
  <si>
    <t>Yes</t>
  </si>
  <si>
    <t>No</t>
  </si>
  <si>
    <t>February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</si>
  <si>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</si>
  <si>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</si>
  <si>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</si>
  <si>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</si>
  <si>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</si>
  <si>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</si>
  <si>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</si>
  <si>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</si>
  <si>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</si>
  <si>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</si>
  <si>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</si>
  <si>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</si>
  <si>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</si>
  <si>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</si>
  <si>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</si>
  <si>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</si>
  <si>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</si>
  <si>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</si>
  <si>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</si>
  <si>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cattle trading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</si>
  <si>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</si>
  <si>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</si>
  <si>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</si>
  <si>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</si>
  <si>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</si>
  <si>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</si>
  <si>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</si>
  <si>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</si>
  <si>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</si>
  <si>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</si>
  <si>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</si>
  <si>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January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</si>
  <si>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</si>
  <si>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</si>
  <si>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</si>
  <si>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</si>
  <si>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</si>
  <si>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</si>
  <si>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</si>
  <si>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</si>
  <si>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</si>
  <si>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</si>
  <si>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</si>
  <si>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</si>
  <si>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</si>
  <si>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</si>
  <si>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</si>
  <si>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</si>
  <si>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12/17/2017</t>
  </si>
  <si>
    <t xml:space="preserve">Musoni </t>
  </si>
  <si>
    <t>TRP 43 % Delayed due to delay of harvest however after harvest he paid off</t>
  </si>
  <si>
    <t>6/21/2017</t>
  </si>
  <si>
    <t xml:space="preserve">TRP 100 % </t>
  </si>
  <si>
    <t>3/24/2017</t>
  </si>
  <si>
    <t xml:space="preserve">Mkopa </t>
  </si>
  <si>
    <t xml:space="preserve">Good loan repayment history 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</si>
  <si>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</si>
  <si>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</si>
  <si>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</si>
  <si>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</si>
  <si>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</si>
  <si>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</si>
  <si>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</si>
  <si>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</si>
  <si>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</si>
  <si>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</si>
  <si>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</si>
  <si>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2018/2/9</t>
  </si>
  <si>
    <t>Loan terms</t>
  </si>
  <si>
    <t>Expected disbursement date</t>
  </si>
  <si>
    <t>Expected first repayment date</t>
  </si>
  <si>
    <t>2018/3/9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</si>
  <si>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</si>
  <si>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</si>
  <si>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</si>
  <si>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</si>
  <si>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</si>
  <si>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</si>
  <si>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</si>
  <si>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</si>
  <si>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</si>
  <si>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</si>
  <si>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</si>
  <si>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</si>
  <si>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</si>
  <si>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</si>
  <si>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</si>
  <si>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</si>
  <si>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</si>
  <si>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</si>
  <si>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</si>
  <si>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</si>
  <si>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</si>
  <si>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</si>
  <si>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</si>
  <si>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</si>
  <si>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</si>
  <si>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</si>
  <si>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</si>
  <si>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</si>
  <si>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</si>
  <si>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</si>
  <si>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</si>
  <si>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</si>
  <si>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</si>
  <si>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</si>
  <si>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</si>
  <si>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</si>
  <si>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</si>
  <si>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</si>
  <si>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</si>
  <si>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</si>
  <si>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</si>
  <si>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</si>
  <si>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</si>
  <si>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</si>
  <si>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</si>
  <si>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</si>
  <si>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</si>
  <si>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</si>
  <si>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</si>
  <si>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</si>
  <si>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</si>
  <si>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</si>
  <si>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</si>
  <si>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</si>
  <si>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</si>
  <si>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</si>
  <si>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</si>
  <si>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</si>
  <si>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</si>
  <si>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</si>
  <si>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</si>
  <si>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</si>
  <si>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</si>
  <si>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</si>
  <si>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</si>
  <si>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</si>
  <si>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</si>
  <si>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</si>
  <si>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</si>
  <si>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</si>
  <si>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</si>
  <si>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</si>
  <si>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</si>
  <si>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</si>
  <si>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</si>
  <si>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</si>
  <si>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</si>
  <si>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</si>
  <si>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</si>
  <si>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</si>
  <si>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</si>
  <si>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</si>
  <si>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</si>
  <si>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</si>
  <si>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</si>
  <si>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</si>
  <si>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</si>
  <si>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</si>
  <si>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</si>
  <si>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</si>
  <si>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</si>
  <si>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</si>
  <si>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</si>
  <si>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</si>
  <si>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</si>
  <si>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</si>
  <si>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</si>
  <si>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</si>
  <si>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</si>
  <si>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</si>
  <si>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</si>
  <si>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</si>
  <si>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</si>
  <si>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</si>
  <si>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</si>
  <si>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</si>
  <si>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</si>
  <si>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</si>
  <si>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</si>
  <si>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</si>
  <si>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</si>
  <si>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</si>
  <si>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</si>
  <si>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</si>
  <si>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</si>
  <si>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</si>
  <si>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</si>
  <si>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</si>
  <si>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</si>
  <si>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</si>
  <si>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</si>
  <si>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</si>
  <si>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</si>
  <si>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</si>
  <si>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</si>
  <si>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</si>
  <si>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</si>
  <si>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</si>
  <si>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</si>
  <si>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</si>
  <si>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</si>
  <si>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</si>
  <si>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</si>
  <si>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</si>
  <si>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</si>
  <si>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</si>
  <si>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</si>
  <si>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</si>
  <si>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</si>
  <si>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</si>
  <si>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</si>
  <si>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</si>
  <si>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</si>
  <si>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</si>
  <si>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</si>
  <si>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</si>
  <si>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</si>
  <si>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</si>
  <si>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</si>
  <si>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</si>
  <si>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</si>
  <si>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</si>
  <si>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</si>
  <si>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</si>
  <si>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</si>
  <si>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</si>
  <si>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</si>
  <si>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</si>
  <si>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</si>
  <si>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</si>
  <si>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</si>
  <si>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</si>
  <si>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</si>
  <si>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</si>
  <si>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</si>
  <si>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</si>
  <si>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</si>
  <si>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</si>
  <si>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</si>
  <si>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</si>
  <si>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</si>
  <si>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</si>
  <si>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</si>
  <si>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</si>
  <si>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</si>
  <si>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</si>
  <si>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</si>
  <si>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</si>
  <si>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</si>
  <si>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</si>
  <si>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</si>
  <si>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</si>
  <si>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</si>
  <si>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</si>
  <si>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</si>
  <si>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</si>
  <si>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</si>
  <si>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</si>
  <si>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</si>
  <si>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</si>
  <si>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</si>
  <si>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</si>
  <si>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</si>
  <si>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</si>
  <si>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</si>
  <si>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</si>
  <si>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</si>
  <si>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</si>
  <si>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</si>
  <si>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Yes both manure and inorganic</t>
  </si>
  <si>
    <t>Yes without the use of a pump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</si>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</sst>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cattle trading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0.2761531730633312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0.1375280898876405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1341175.779534342</v>
      </c>
    </row>
    <row r="18" spans="1:7">
      <c r="B18" s="1" t="s">
        <v>12</v>
      </c>
      <c r="C18" s="36">
        <f>MIN(Output!B6:M6)</f>
        <v>-595051.4321963523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2018</v>
      </c>
    </row>
    <row r="20" spans="1:7">
      <c r="B20" s="1" t="s">
        <v>14</v>
      </c>
      <c r="C20" s="36">
        <f>MAX(Output!B6:M6)</f>
        <v>2038345.050748933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174333</v>
      </c>
    </row>
    <row r="25" spans="1:7">
      <c r="B25" s="1" t="s">
        <v>18</v>
      </c>
      <c r="C25" s="36">
        <f>MAX(Inputs!A56:A60)</f>
        <v>300000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1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-337551.4321963523</v>
      </c>
      <c r="C6" s="51">
        <f>C30-C88</f>
        <v>-145051.4321963523</v>
      </c>
      <c r="D6" s="51">
        <f>D30-D88</f>
        <v>-145051.4321963523</v>
      </c>
      <c r="E6" s="51">
        <f>E30-E88</f>
        <v>-595051.4321963523</v>
      </c>
      <c r="F6" s="51">
        <f>F30-F88</f>
        <v>-145051.4321963523</v>
      </c>
      <c r="G6" s="51">
        <f>G30-G88</f>
        <v>2038345.050748933</v>
      </c>
      <c r="H6" s="51">
        <f>H30-H88</f>
        <v>-337551.4321963523</v>
      </c>
      <c r="I6" s="51">
        <f>I30-I88</f>
        <v>-145051.4321963523</v>
      </c>
      <c r="J6" s="51">
        <f>J30-J88</f>
        <v>-145051.4321963523</v>
      </c>
      <c r="K6" s="51">
        <f>K30-K88</f>
        <v>-595051.4321963523</v>
      </c>
      <c r="L6" s="51">
        <f>L30-L88</f>
        <v>-145051.4321963523</v>
      </c>
      <c r="M6" s="51">
        <f>M30-M88</f>
        <v>2038345.050748933</v>
      </c>
      <c r="N6" s="51">
        <f>N30-N88</f>
        <v>-337551.4321963523</v>
      </c>
      <c r="O6" s="51">
        <f>O30-O88</f>
        <v>-145051.4321963523</v>
      </c>
      <c r="P6" s="51">
        <f>P30-P88</f>
        <v>-145051.4321963523</v>
      </c>
      <c r="Q6" s="51">
        <f>Q30-Q88</f>
        <v>-595051.4321963523</v>
      </c>
      <c r="R6" s="51">
        <f>R30-R88</f>
        <v>-145051.4321963523</v>
      </c>
      <c r="S6" s="51">
        <f>S30-S88</f>
        <v>2038345.050748933</v>
      </c>
      <c r="T6" s="51">
        <f>T30-T88</f>
        <v>-337551.4321963523</v>
      </c>
      <c r="U6" s="51">
        <f>U30-U88</f>
        <v>-145051.4321963523</v>
      </c>
      <c r="V6" s="51">
        <f>V30-V88</f>
        <v>-145051.4321963523</v>
      </c>
      <c r="W6" s="51">
        <f>W30-W88</f>
        <v>-595051.4321963523</v>
      </c>
      <c r="X6" s="51">
        <f>X30-X88</f>
        <v>-145051.4321963523</v>
      </c>
      <c r="Y6" s="51">
        <f>Y30-Y88</f>
        <v>2038345.050748933</v>
      </c>
      <c r="Z6" s="51">
        <f>SUMIF($B$13:$Y$13,"Yes",B6:Y6)</f>
        <v>1003624.34733799</v>
      </c>
      <c r="AA6" s="51">
        <f>AA30-AA88</f>
        <v>1341175.779534343</v>
      </c>
      <c r="AB6" s="51">
        <f>AB30-AB88</f>
        <v>2682351.559068682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11515</v>
      </c>
      <c r="I7" s="80">
        <f>IF(ISERROR(VLOOKUP(MONTH(I5),Inputs!$D$66:$D$71,1,0)),"",INDEX(Inputs!$B$66:$B$71,MATCH(MONTH(Output!I5),Inputs!$D$66:$D$71,0))-INDEX(Inputs!$C$66:$C$71,MATCH(MONTH(Output!I5),Inputs!$D$66:$D$71,0)))</f>
        <v>33557</v>
      </c>
      <c r="J7" s="80">
        <f>IF(ISERROR(VLOOKUP(MONTH(J5),Inputs!$D$66:$D$71,1,0)),"",INDEX(Inputs!$B$66:$B$71,MATCH(MONTH(Output!J5),Inputs!$D$66:$D$71,0))-INDEX(Inputs!$C$66:$C$71,MATCH(MONTH(Output!J5),Inputs!$D$66:$D$71,0)))</f>
        <v>23848</v>
      </c>
      <c r="K7" s="80">
        <f>IF(ISERROR(VLOOKUP(MONTH(K5),Inputs!$D$66:$D$71,1,0)),"",INDEX(Inputs!$B$66:$B$71,MATCH(MONTH(Output!K5),Inputs!$D$66:$D$71,0))-INDEX(Inputs!$C$66:$C$71,MATCH(MONTH(Output!K5),Inputs!$D$66:$D$71,0)))</f>
        <v>16277</v>
      </c>
      <c r="L7" s="80">
        <f>IF(ISERROR(VLOOKUP(MONTH(L5),Inputs!$D$66:$D$71,1,0)),"",INDEX(Inputs!$B$66:$B$71,MATCH(MONTH(Output!L5),Inputs!$D$66:$D$71,0))-INDEX(Inputs!$C$66:$C$71,MATCH(MONTH(Output!L5),Inputs!$D$66:$D$71,0)))</f>
        <v>91020</v>
      </c>
      <c r="M7" s="80">
        <f>IF(ISERROR(VLOOKUP(MONTH(M5),Inputs!$D$66:$D$71,1,0)),"",INDEX(Inputs!$B$66:$B$71,MATCH(MONTH(Output!M5),Inputs!$D$66:$D$71,0))-INDEX(Inputs!$C$66:$C$71,MATCH(MONTH(Output!M5),Inputs!$D$66:$D$71,0)))</f>
        <v>314619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11515</v>
      </c>
      <c r="U7" s="80">
        <f>IF(ISERROR(VLOOKUP(MONTH(U5),Inputs!$D$66:$D$71,1,0)),"",INDEX(Inputs!$B$66:$B$71,MATCH(MONTH(Output!U5),Inputs!$D$66:$D$71,0))-INDEX(Inputs!$C$66:$C$71,MATCH(MONTH(Output!U5),Inputs!$D$66:$D$71,0)))</f>
        <v>33557</v>
      </c>
      <c r="V7" s="80">
        <f>IF(ISERROR(VLOOKUP(MONTH(V5),Inputs!$D$66:$D$71,1,0)),"",INDEX(Inputs!$B$66:$B$71,MATCH(MONTH(Output!V5),Inputs!$D$66:$D$71,0))-INDEX(Inputs!$C$66:$C$71,MATCH(MONTH(Output!V5),Inputs!$D$66:$D$71,0)))</f>
        <v>23848</v>
      </c>
      <c r="W7" s="80">
        <f>IF(ISERROR(VLOOKUP(MONTH(W5),Inputs!$D$66:$D$71,1,0)),"",INDEX(Inputs!$B$66:$B$71,MATCH(MONTH(Output!W5),Inputs!$D$66:$D$71,0))-INDEX(Inputs!$C$66:$C$71,MATCH(MONTH(Output!W5),Inputs!$D$66:$D$71,0)))</f>
        <v>16277</v>
      </c>
      <c r="X7" s="80">
        <f>IF(ISERROR(VLOOKUP(MONTH(X5),Inputs!$D$66:$D$71,1,0)),"",INDEX(Inputs!$B$66:$B$71,MATCH(MONTH(Output!X5),Inputs!$D$66:$D$71,0))-INDEX(Inputs!$C$66:$C$71,MATCH(MONTH(Output!X5),Inputs!$D$66:$D$71,0)))</f>
        <v>91020</v>
      </c>
      <c r="Y7" s="80">
        <f>IF(ISERROR(VLOOKUP(MONTH(Y5),Inputs!$D$66:$D$71,1,0)),"",INDEX(Inputs!$B$66:$B$71,MATCH(MONTH(Output!Y5),Inputs!$D$66:$D$71,0))-INDEX(Inputs!$C$66:$C$71,MATCH(MONTH(Output!Y5),Inputs!$D$66:$D$71,0)))</f>
        <v>314619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-37551.43219635234</v>
      </c>
      <c r="C11" s="80">
        <f>C6+C9-C10</f>
        <v>-175051.4321963523</v>
      </c>
      <c r="D11" s="80">
        <f>D6+D9-D10</f>
        <v>-175051.4321963523</v>
      </c>
      <c r="E11" s="80">
        <f>E6+E9-E10</f>
        <v>-625051.4321963523</v>
      </c>
      <c r="F11" s="80">
        <f>F6+F9-F10</f>
        <v>-175051.4321963523</v>
      </c>
      <c r="G11" s="80">
        <f>G6+G9-G10</f>
        <v>2008345.050748933</v>
      </c>
      <c r="H11" s="80">
        <f>H6+H9-H10</f>
        <v>-367551.4321963523</v>
      </c>
      <c r="I11" s="80">
        <f>I6+I9-I10</f>
        <v>-175051.4321963523</v>
      </c>
      <c r="J11" s="80">
        <f>J6+J9-J10</f>
        <v>-175051.4321963523</v>
      </c>
      <c r="K11" s="80">
        <f>K6+K9-K10</f>
        <v>-625051.4321963523</v>
      </c>
      <c r="L11" s="80">
        <f>L6+L9-L10</f>
        <v>-175051.4321963523</v>
      </c>
      <c r="M11" s="80">
        <f>M6+M9-M10</f>
        <v>2008345.050748933</v>
      </c>
      <c r="N11" s="80">
        <f>N6+N9-N10</f>
        <v>-367551.4321963523</v>
      </c>
      <c r="O11" s="80">
        <f>O6+O9-O10</f>
        <v>-145051.4321963523</v>
      </c>
      <c r="P11" s="80">
        <f>P6+P9-P10</f>
        <v>-145051.4321963523</v>
      </c>
      <c r="Q11" s="80">
        <f>Q6+Q9-Q10</f>
        <v>-595051.4321963523</v>
      </c>
      <c r="R11" s="80">
        <f>R6+R9-R10</f>
        <v>-145051.4321963523</v>
      </c>
      <c r="S11" s="80">
        <f>S6+S9-S10</f>
        <v>2038345.050748933</v>
      </c>
      <c r="T11" s="80">
        <f>T6+T9-T10</f>
        <v>-337551.4321963523</v>
      </c>
      <c r="U11" s="80">
        <f>U6+U9-U10</f>
        <v>-145051.4321963523</v>
      </c>
      <c r="V11" s="80">
        <f>V6+V9-V10</f>
        <v>-145051.4321963523</v>
      </c>
      <c r="W11" s="80">
        <f>W6+W9-W10</f>
        <v>-595051.4321963523</v>
      </c>
      <c r="X11" s="80">
        <f>X6+X9-X10</f>
        <v>-145051.4321963523</v>
      </c>
      <c r="Y11" s="80">
        <f>Y6+Y9-Y10</f>
        <v>2038345.050748933</v>
      </c>
      <c r="Z11" s="85">
        <f>SUMIF($B$13:$Y$13,"Yes",B11:Y11)</f>
        <v>943624.3473379894</v>
      </c>
      <c r="AA11" s="80">
        <f>SUM(B11:M11)</f>
        <v>1311175.779534342</v>
      </c>
      <c r="AB11" s="46">
        <f>SUM(B11:Y11)</f>
        <v>2622351.559068684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-0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0.1545455095632634</v>
      </c>
      <c r="H12" s="82">
        <f>IF(H13="Yes",IF(SUM($B$10:H10)/(SUM($B$6:H6)+SUM($B$9:H9))&lt;0,999.99,SUM($B$10:H10)/(SUM($B$6:H6)+SUM($B$9:H9))),"")</f>
        <v>0.2843438128203906</v>
      </c>
      <c r="I12" s="82">
        <f>IF(I13="Yes",IF(SUM($B$10:I10)/(SUM($B$6:I6)+SUM($B$9:I9))&lt;0,999.99,SUM($B$10:I10)/(SUM($B$6:I6)+SUM($B$9:I9))),"")</f>
        <v>0.4303410741730276</v>
      </c>
      <c r="J12" s="82">
        <f>IF(J13="Yes",IF(SUM($B$10:J10)/(SUM($B$6:J6)+SUM($B$9:J9))&lt;0,999.99,SUM($B$10:J10)/(SUM($B$6:J6)+SUM($B$9:J9))),"")</f>
        <v>0.6998439487243465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0.2010753534844588</v>
      </c>
      <c r="N12" s="82">
        <f>IF(N13="Yes",IF(SUM($B$10:N10)/(SUM($B$6:N6)+SUM($B$9:N9))&lt;0,999.99,SUM($B$10:N10)/(SUM($B$6:N6)+SUM($B$9:N9))),"")</f>
        <v>0.2761531730633312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2183396.482945285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2183396.482945285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2183396.482945285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2183396.482945285</v>
      </c>
      <c r="Z18" s="36">
        <f>SUMIF($B$13:$Y$13,"Yes",B18:Y18)</f>
        <v>4366792.96589057</v>
      </c>
      <c r="AA18" s="36">
        <f>SUM(B18:M18)</f>
        <v>4366792.96589057</v>
      </c>
      <c r="AB18" s="36">
        <f>SUM(B18:Y18)</f>
        <v>8733585.931781139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42000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32583.33333333333</v>
      </c>
      <c r="C24" s="36">
        <f>IFERROR(Calculations!$P14/12,"")</f>
        <v>32583.33333333333</v>
      </c>
      <c r="D24" s="36">
        <f>IFERROR(Calculations!$P14/12,"")</f>
        <v>32583.33333333333</v>
      </c>
      <c r="E24" s="36">
        <f>IFERROR(Calculations!$P14/12,"")</f>
        <v>32583.33333333333</v>
      </c>
      <c r="F24" s="36">
        <f>IFERROR(Calculations!$P14/12,"")</f>
        <v>32583.33333333333</v>
      </c>
      <c r="G24" s="36">
        <f>IFERROR(Calculations!$P14/12,"")</f>
        <v>32583.33333333333</v>
      </c>
      <c r="H24" s="36">
        <f>IFERROR(Calculations!$P14/12,"")</f>
        <v>32583.33333333333</v>
      </c>
      <c r="I24" s="36">
        <f>IFERROR(Calculations!$P14/12,"")</f>
        <v>32583.33333333333</v>
      </c>
      <c r="J24" s="36">
        <f>IFERROR(Calculations!$P14/12,"")</f>
        <v>32583.33333333333</v>
      </c>
      <c r="K24" s="36">
        <f>IFERROR(Calculations!$P14/12,"")</f>
        <v>32583.33333333333</v>
      </c>
      <c r="L24" s="36">
        <f>IFERROR(Calculations!$P14/12,"")</f>
        <v>32583.33333333333</v>
      </c>
      <c r="M24" s="36">
        <f>IFERROR(Calculations!$P14/12,"")</f>
        <v>32583.33333333333</v>
      </c>
      <c r="N24" s="36">
        <f>IFERROR(Calculations!$P14/12,"")</f>
        <v>32583.33333333333</v>
      </c>
      <c r="O24" s="36">
        <f>IFERROR(Calculations!$P14/12,"")</f>
        <v>32583.33333333333</v>
      </c>
      <c r="P24" s="36">
        <f>IFERROR(Calculations!$P14/12,"")</f>
        <v>32583.33333333333</v>
      </c>
      <c r="Q24" s="36">
        <f>IFERROR(Calculations!$P14/12,"")</f>
        <v>32583.33333333333</v>
      </c>
      <c r="R24" s="36">
        <f>IFERROR(Calculations!$P14/12,"")</f>
        <v>32583.33333333333</v>
      </c>
      <c r="S24" s="36">
        <f>IFERROR(Calculations!$P14/12,"")</f>
        <v>32583.33333333333</v>
      </c>
      <c r="T24" s="36">
        <f>IFERROR(Calculations!$P14/12,"")</f>
        <v>32583.33333333333</v>
      </c>
      <c r="U24" s="36">
        <f>IFERROR(Calculations!$P14/12,"")</f>
        <v>32583.33333333333</v>
      </c>
      <c r="V24" s="36">
        <f>IFERROR(Calculations!$P14/12,"")</f>
        <v>32583.33333333333</v>
      </c>
      <c r="W24" s="36">
        <f>IFERROR(Calculations!$P14/12,"")</f>
        <v>32583.33333333333</v>
      </c>
      <c r="X24" s="36">
        <f>IFERROR(Calculations!$P14/12,"")</f>
        <v>32583.33333333333</v>
      </c>
      <c r="Y24" s="36">
        <f>IFERROR(Calculations!$P14/12,"")</f>
        <v>32583.33333333333</v>
      </c>
      <c r="Z24" s="36">
        <f>SUMIF($B$13:$Y$13,"Yes",B24:Y24)</f>
        <v>423583.3333333333</v>
      </c>
      <c r="AA24" s="36">
        <f>SUM(B24:M24)</f>
        <v>390999.9999999999</v>
      </c>
      <c r="AB24" s="46">
        <f>SUM(B24:Y24)</f>
        <v>782000.0000000001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10000</v>
      </c>
      <c r="C29" s="37">
        <f>Inputs!$B$30</f>
        <v>10000</v>
      </c>
      <c r="D29" s="37">
        <f>Inputs!$B$30</f>
        <v>10000</v>
      </c>
      <c r="E29" s="37">
        <f>Inputs!$B$30</f>
        <v>10000</v>
      </c>
      <c r="F29" s="37">
        <f>Inputs!$B$30</f>
        <v>10000</v>
      </c>
      <c r="G29" s="37">
        <f>Inputs!$B$30</f>
        <v>10000</v>
      </c>
      <c r="H29" s="37">
        <f>Inputs!$B$30</f>
        <v>10000</v>
      </c>
      <c r="I29" s="37">
        <f>Inputs!$B$30</f>
        <v>10000</v>
      </c>
      <c r="J29" s="37">
        <f>Inputs!$B$30</f>
        <v>10000</v>
      </c>
      <c r="K29" s="37">
        <f>Inputs!$B$30</f>
        <v>10000</v>
      </c>
      <c r="L29" s="37">
        <f>Inputs!$B$30</f>
        <v>10000</v>
      </c>
      <c r="M29" s="37">
        <f>Inputs!$B$30</f>
        <v>10000</v>
      </c>
      <c r="N29" s="37">
        <f>Inputs!$B$30</f>
        <v>10000</v>
      </c>
      <c r="O29" s="37">
        <f>Inputs!$B$30</f>
        <v>10000</v>
      </c>
      <c r="P29" s="37">
        <f>Inputs!$B$30</f>
        <v>10000</v>
      </c>
      <c r="Q29" s="37">
        <f>Inputs!$B$30</f>
        <v>10000</v>
      </c>
      <c r="R29" s="37">
        <f>Inputs!$B$30</f>
        <v>10000</v>
      </c>
      <c r="S29" s="37">
        <f>Inputs!$B$30</f>
        <v>10000</v>
      </c>
      <c r="T29" s="37">
        <f>Inputs!$B$30</f>
        <v>10000</v>
      </c>
      <c r="U29" s="37">
        <f>Inputs!$B$30</f>
        <v>10000</v>
      </c>
      <c r="V29" s="37">
        <f>Inputs!$B$30</f>
        <v>10000</v>
      </c>
      <c r="W29" s="37">
        <f>Inputs!$B$30</f>
        <v>10000</v>
      </c>
      <c r="X29" s="37">
        <f>Inputs!$B$30</f>
        <v>10000</v>
      </c>
      <c r="Y29" s="37">
        <f>Inputs!$B$30</f>
        <v>10000</v>
      </c>
      <c r="Z29" s="37">
        <f>SUMIF($B$13:$Y$13,"Yes",B29:Y29)</f>
        <v>130000</v>
      </c>
      <c r="AA29" s="37">
        <f>SUM(B29:M29)</f>
        <v>120000</v>
      </c>
      <c r="AB29" s="37">
        <f>SUM(B29:Y29)</f>
        <v>240000</v>
      </c>
    </row>
    <row r="30" spans="1:30" customHeight="1" ht="15.75">
      <c r="A30" s="1" t="s">
        <v>37</v>
      </c>
      <c r="B30" s="19">
        <f>SUM(B18:B29)</f>
        <v>42583.33333333333</v>
      </c>
      <c r="C30" s="19">
        <f>SUM(C18:C29)</f>
        <v>42583.33333333333</v>
      </c>
      <c r="D30" s="19">
        <f>SUM(D18:D29)</f>
        <v>42583.33333333333</v>
      </c>
      <c r="E30" s="19">
        <f>SUM(E18:E29)</f>
        <v>42583.33333333333</v>
      </c>
      <c r="F30" s="19">
        <f>SUM(F18:F29)</f>
        <v>42583.33333333333</v>
      </c>
      <c r="G30" s="19">
        <f>SUM(G18:G29)</f>
        <v>2225979.816278618</v>
      </c>
      <c r="H30" s="19">
        <f>SUM(H18:H29)</f>
        <v>42583.33333333333</v>
      </c>
      <c r="I30" s="19">
        <f>SUM(I18:I29)</f>
        <v>42583.33333333333</v>
      </c>
      <c r="J30" s="19">
        <f>SUM(J18:J29)</f>
        <v>42583.33333333333</v>
      </c>
      <c r="K30" s="19">
        <f>SUM(K18:K29)</f>
        <v>42583.33333333333</v>
      </c>
      <c r="L30" s="19">
        <f>SUM(L18:L29)</f>
        <v>42583.33333333333</v>
      </c>
      <c r="M30" s="19">
        <f>SUM(M18:M29)</f>
        <v>2225979.816278618</v>
      </c>
      <c r="N30" s="19">
        <f>SUM(N18:N29)</f>
        <v>42583.33333333333</v>
      </c>
      <c r="O30" s="19">
        <f>SUM(O18:O29)</f>
        <v>42583.33333333333</v>
      </c>
      <c r="P30" s="19">
        <f>SUM(P18:P29)</f>
        <v>42583.33333333333</v>
      </c>
      <c r="Q30" s="19">
        <f>SUM(Q18:Q29)</f>
        <v>42583.33333333333</v>
      </c>
      <c r="R30" s="19">
        <f>SUM(R18:R29)</f>
        <v>42583.33333333333</v>
      </c>
      <c r="S30" s="19">
        <f>SUM(S18:S29)</f>
        <v>2225979.816278618</v>
      </c>
      <c r="T30" s="19">
        <f>SUM(T18:T29)</f>
        <v>42583.33333333333</v>
      </c>
      <c r="U30" s="19">
        <f>SUM(U18:U29)</f>
        <v>42583.33333333333</v>
      </c>
      <c r="V30" s="19">
        <f>SUM(V18:V29)</f>
        <v>42583.33333333333</v>
      </c>
      <c r="W30" s="19">
        <f>SUM(W18:W29)</f>
        <v>42583.33333333333</v>
      </c>
      <c r="X30" s="19">
        <f>SUM(X18:X29)</f>
        <v>42583.33333333333</v>
      </c>
      <c r="Y30" s="19">
        <f>SUM(Y18:Y29)</f>
        <v>2225979.816278618</v>
      </c>
      <c r="Z30" s="19">
        <f>SUMIF($B$13:$Y$13,"Yes",B30:Y30)</f>
        <v>4920376.299223904</v>
      </c>
      <c r="AA30" s="19">
        <f>SUM(B30:M30)</f>
        <v>4877792.965890571</v>
      </c>
      <c r="AB30" s="19">
        <f>SUM(B30:Y30)</f>
        <v>9755585.931781137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192500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192500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192500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192500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577500</v>
      </c>
      <c r="AA42" s="36">
        <f>SUM(B42:M42)</f>
        <v>385000</v>
      </c>
      <c r="AB42" s="36">
        <f>SUM(B42:Y42)</f>
        <v>770000</v>
      </c>
    </row>
    <row r="43" spans="1:30" hidden="true" outlineLevel="1">
      <c r="A43" s="181" t="str">
        <f>Calculations!$A$4</f>
        <v>Wheat</v>
      </c>
      <c r="B43" s="36">
        <f>N43</f>
        <v>192500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192500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192500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192500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577500</v>
      </c>
      <c r="AA43" s="36">
        <f>SUM(B43:M43)</f>
        <v>385000</v>
      </c>
      <c r="AB43" s="36">
        <f>SUM(B43:Y43)</f>
        <v>770000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450000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450000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450000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450000</v>
      </c>
      <c r="X48" s="46">
        <f>SUM(X49:X53)</f>
        <v>0</v>
      </c>
      <c r="Y48" s="46">
        <f>SUM(Y49:Y53)</f>
        <v>0</v>
      </c>
      <c r="Z48" s="46">
        <f>SUMIF($B$13:$Y$13,"Yes",B48:Y48)</f>
        <v>900000</v>
      </c>
      <c r="AA48" s="46">
        <f>SUM(B48:M48)</f>
        <v>900000</v>
      </c>
      <c r="AB48" s="46">
        <f>SUM(B48:Y48)</f>
        <v>1800000</v>
      </c>
    </row>
    <row r="49" spans="1:30" hidden="true" outlineLevel="1">
      <c r="A49" s="181" t="str">
        <f>Calculations!$A$4</f>
        <v>Wheat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450000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450000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450000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450000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900000</v>
      </c>
      <c r="AA49" s="46">
        <f>SUM(B49:M49)</f>
        <v>900000</v>
      </c>
      <c r="AB49" s="46">
        <f>SUM(B49:Y49)</f>
        <v>1800000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61249.99999999999</v>
      </c>
      <c r="C66" s="36">
        <f>O66</f>
        <v>61249.99999999999</v>
      </c>
      <c r="D66" s="36">
        <f>P66</f>
        <v>61249.99999999999</v>
      </c>
      <c r="E66" s="36">
        <f>Q66</f>
        <v>61249.99999999999</v>
      </c>
      <c r="F66" s="36">
        <f>R66</f>
        <v>61249.99999999999</v>
      </c>
      <c r="G66" s="36">
        <f>S66</f>
        <v>61249.99999999999</v>
      </c>
      <c r="H66" s="36">
        <f>T66</f>
        <v>61249.99999999999</v>
      </c>
      <c r="I66" s="36">
        <f>U66</f>
        <v>61249.99999999999</v>
      </c>
      <c r="J66" s="36">
        <f>V66</f>
        <v>61249.99999999999</v>
      </c>
      <c r="K66" s="36">
        <f>W66</f>
        <v>61249.99999999999</v>
      </c>
      <c r="L66" s="36">
        <f>X66</f>
        <v>61249.99999999999</v>
      </c>
      <c r="M66" s="36">
        <f>Y66</f>
        <v>61249.99999999999</v>
      </c>
      <c r="N66" s="46">
        <f>SUM(N67:N71)</f>
        <v>61249.99999999999</v>
      </c>
      <c r="O66" s="46">
        <f>SUM(O67:O71)</f>
        <v>61249.99999999999</v>
      </c>
      <c r="P66" s="46">
        <f>SUM(P67:P71)</f>
        <v>61249.99999999999</v>
      </c>
      <c r="Q66" s="46">
        <f>SUM(Q67:Q71)</f>
        <v>61249.99999999999</v>
      </c>
      <c r="R66" s="46">
        <f>SUM(R67:R71)</f>
        <v>61249.99999999999</v>
      </c>
      <c r="S66" s="46">
        <f>SUM(S67:S71)</f>
        <v>61249.99999999999</v>
      </c>
      <c r="T66" s="46">
        <f>SUM(T67:T71)</f>
        <v>61249.99999999999</v>
      </c>
      <c r="U66" s="46">
        <f>SUM(U67:U71)</f>
        <v>61249.99999999999</v>
      </c>
      <c r="V66" s="46">
        <f>SUM(V67:V71)</f>
        <v>61249.99999999999</v>
      </c>
      <c r="W66" s="46">
        <f>SUM(W67:W71)</f>
        <v>61249.99999999999</v>
      </c>
      <c r="X66" s="46">
        <f>SUM(X67:X71)</f>
        <v>61249.99999999999</v>
      </c>
      <c r="Y66" s="46">
        <f>SUM(Y67:Y71)</f>
        <v>61249.99999999999</v>
      </c>
      <c r="Z66" s="46">
        <f>SUMIF($B$13:$Y$13,"Yes",B66:Y66)</f>
        <v>796249.9999999999</v>
      </c>
      <c r="AA66" s="46">
        <f>SUM(B66:M66)</f>
        <v>734999.9999999999</v>
      </c>
      <c r="AB66" s="46">
        <f>SUM(B66:Y66)</f>
        <v>1470000</v>
      </c>
    </row>
    <row r="67" spans="1:30" hidden="true" outlineLevel="1">
      <c r="A67" s="181" t="str">
        <f>Calculations!$A$4</f>
        <v>Wheat</v>
      </c>
      <c r="B67" s="36">
        <f>N67</f>
        <v>61249.99999999999</v>
      </c>
      <c r="C67" s="36">
        <f>O67</f>
        <v>61249.99999999999</v>
      </c>
      <c r="D67" s="36">
        <f>P67</f>
        <v>61249.99999999999</v>
      </c>
      <c r="E67" s="36">
        <f>Q67</f>
        <v>61249.99999999999</v>
      </c>
      <c r="F67" s="36">
        <f>R67</f>
        <v>61249.99999999999</v>
      </c>
      <c r="G67" s="36">
        <f>S67</f>
        <v>61249.99999999999</v>
      </c>
      <c r="H67" s="36">
        <f>T67</f>
        <v>61249.99999999999</v>
      </c>
      <c r="I67" s="36">
        <f>U67</f>
        <v>61249.99999999999</v>
      </c>
      <c r="J67" s="36">
        <f>V67</f>
        <v>61249.99999999999</v>
      </c>
      <c r="K67" s="36">
        <f>W67</f>
        <v>61249.99999999999</v>
      </c>
      <c r="L67" s="36">
        <f>X67</f>
        <v>61249.99999999999</v>
      </c>
      <c r="M67" s="36">
        <f>Y67</f>
        <v>61249.99999999999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61249.99999999999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61249.99999999999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61249.99999999999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61249.99999999999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61249.99999999999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61249.99999999999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61249.99999999999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61249.99999999999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61249.99999999999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61249.99999999999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61249.99999999999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61249.99999999999</v>
      </c>
      <c r="Z67" s="46">
        <f>SUMIF($B$13:$Y$13,"Yes",B67:Y67)</f>
        <v>796249.9999999999</v>
      </c>
      <c r="AA67" s="46">
        <f>SUM(B67:M67)</f>
        <v>734999.9999999999</v>
      </c>
      <c r="AB67" s="46">
        <f>SUM(B67:Y67)</f>
        <v>1470000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45625</v>
      </c>
      <c r="C74" s="46">
        <f>SUM(Calculations!$Q$14:$Q$16)/12</f>
        <v>45625</v>
      </c>
      <c r="D74" s="46">
        <f>SUM(Calculations!$Q$14:$Q$16)/12</f>
        <v>45625</v>
      </c>
      <c r="E74" s="46">
        <f>SUM(Calculations!$Q$14:$Q$16)/12</f>
        <v>45625</v>
      </c>
      <c r="F74" s="46">
        <f>SUM(Calculations!$Q$14:$Q$16)/12</f>
        <v>45625</v>
      </c>
      <c r="G74" s="46">
        <f>SUM(Calculations!$Q$14:$Q$16)/12</f>
        <v>45625</v>
      </c>
      <c r="H74" s="46">
        <f>SUM(Calculations!$Q$14:$Q$16)/12</f>
        <v>45625</v>
      </c>
      <c r="I74" s="46">
        <f>SUM(Calculations!$Q$14:$Q$16)/12</f>
        <v>45625</v>
      </c>
      <c r="J74" s="46">
        <f>SUM(Calculations!$Q$14:$Q$16)/12</f>
        <v>45625</v>
      </c>
      <c r="K74" s="46">
        <f>SUM(Calculations!$Q$14:$Q$16)/12</f>
        <v>45625</v>
      </c>
      <c r="L74" s="46">
        <f>SUM(Calculations!$Q$14:$Q$16)/12</f>
        <v>45625</v>
      </c>
      <c r="M74" s="46">
        <f>SUM(Calculations!$Q$14:$Q$16)/12</f>
        <v>45625</v>
      </c>
      <c r="N74" s="46">
        <f>SUM(Calculations!$Q$14:$Q$16)/12</f>
        <v>45625</v>
      </c>
      <c r="O74" s="46">
        <f>SUM(Calculations!$Q$14:$Q$16)/12</f>
        <v>45625</v>
      </c>
      <c r="P74" s="46">
        <f>SUM(Calculations!$Q$14:$Q$16)/12</f>
        <v>45625</v>
      </c>
      <c r="Q74" s="46">
        <f>SUM(Calculations!$Q$14:$Q$16)/12</f>
        <v>45625</v>
      </c>
      <c r="R74" s="46">
        <f>SUM(Calculations!$Q$14:$Q$16)/12</f>
        <v>45625</v>
      </c>
      <c r="S74" s="46">
        <f>SUM(Calculations!$Q$14:$Q$16)/12</f>
        <v>45625</v>
      </c>
      <c r="T74" s="46">
        <f>SUM(Calculations!$Q$14:$Q$16)/12</f>
        <v>45625</v>
      </c>
      <c r="U74" s="46">
        <f>SUM(Calculations!$Q$14:$Q$16)/12</f>
        <v>45625</v>
      </c>
      <c r="V74" s="46">
        <f>SUM(Calculations!$Q$14:$Q$16)/12</f>
        <v>45625</v>
      </c>
      <c r="W74" s="46">
        <f>SUM(Calculations!$Q$14:$Q$16)/12</f>
        <v>45625</v>
      </c>
      <c r="X74" s="46">
        <f>SUM(Calculations!$Q$14:$Q$16)/12</f>
        <v>45625</v>
      </c>
      <c r="Y74" s="46">
        <f>SUM(Calculations!$Q$14:$Q$16)/12</f>
        <v>45625</v>
      </c>
      <c r="Z74" s="46">
        <f>SUMIF($B$13:$Y$13,"Yes",B74:Y74)</f>
        <v>593125</v>
      </c>
      <c r="AA74" s="46">
        <f>SUM(B74:M74)</f>
        <v>547500</v>
      </c>
      <c r="AB74" s="46">
        <f>SUM(B74:Y74)</f>
        <v>1095000</v>
      </c>
    </row>
    <row r="75" spans="1:30">
      <c r="A75" s="16" t="s">
        <v>47</v>
      </c>
      <c r="B75" s="46">
        <f>SUM(Calculations!$R$14:$R$16)/12</f>
        <v>1500</v>
      </c>
      <c r="C75" s="46">
        <f>SUM(Calculations!$R$14:$R$16)/12</f>
        <v>1500</v>
      </c>
      <c r="D75" s="46">
        <f>SUM(Calculations!$R$14:$R$16)/12</f>
        <v>1500</v>
      </c>
      <c r="E75" s="46">
        <f>SUM(Calculations!$R$14:$R$16)/12</f>
        <v>1500</v>
      </c>
      <c r="F75" s="46">
        <f>SUM(Calculations!$R$14:$R$16)/12</f>
        <v>1500</v>
      </c>
      <c r="G75" s="46">
        <f>SUM(Calculations!$R$14:$R$16)/12</f>
        <v>1500</v>
      </c>
      <c r="H75" s="46">
        <f>SUM(Calculations!$R$14:$R$16)/12</f>
        <v>1500</v>
      </c>
      <c r="I75" s="46">
        <f>SUM(Calculations!$R$14:$R$16)/12</f>
        <v>1500</v>
      </c>
      <c r="J75" s="46">
        <f>SUM(Calculations!$R$14:$R$16)/12</f>
        <v>1500</v>
      </c>
      <c r="K75" s="46">
        <f>SUM(Calculations!$R$14:$R$16)/12</f>
        <v>1500</v>
      </c>
      <c r="L75" s="46">
        <f>SUM(Calculations!$R$14:$R$16)/12</f>
        <v>1500</v>
      </c>
      <c r="M75" s="46">
        <f>SUM(Calculations!$R$14:$R$16)/12</f>
        <v>1500</v>
      </c>
      <c r="N75" s="46">
        <f>SUM(Calculations!$R$14:$R$16)/12</f>
        <v>1500</v>
      </c>
      <c r="O75" s="46">
        <f>SUM(Calculations!$R$14:$R$16)/12</f>
        <v>1500</v>
      </c>
      <c r="P75" s="46">
        <f>SUM(Calculations!$R$14:$R$16)/12</f>
        <v>1500</v>
      </c>
      <c r="Q75" s="46">
        <f>SUM(Calculations!$R$14:$R$16)/12</f>
        <v>1500</v>
      </c>
      <c r="R75" s="46">
        <f>SUM(Calculations!$R$14:$R$16)/12</f>
        <v>1500</v>
      </c>
      <c r="S75" s="46">
        <f>SUM(Calculations!$R$14:$R$16)/12</f>
        <v>1500</v>
      </c>
      <c r="T75" s="46">
        <f>SUM(Calculations!$R$14:$R$16)/12</f>
        <v>1500</v>
      </c>
      <c r="U75" s="46">
        <f>SUM(Calculations!$R$14:$R$16)/12</f>
        <v>1500</v>
      </c>
      <c r="V75" s="46">
        <f>SUM(Calculations!$R$14:$R$16)/12</f>
        <v>1500</v>
      </c>
      <c r="W75" s="46">
        <f>SUM(Calculations!$R$14:$R$16)/12</f>
        <v>1500</v>
      </c>
      <c r="X75" s="46">
        <f>SUM(Calculations!$R$14:$R$16)/12</f>
        <v>1500</v>
      </c>
      <c r="Y75" s="46">
        <f>SUM(Calculations!$R$14:$R$16)/12</f>
        <v>1500</v>
      </c>
      <c r="Z75" s="46">
        <f>SUMIF($B$13:$Y$13,"Yes",B75:Y75)</f>
        <v>19500</v>
      </c>
      <c r="AA75" s="46">
        <f>SUM(B75:M75)</f>
        <v>18000</v>
      </c>
      <c r="AB75" s="46">
        <f>SUM(B75:Y75)</f>
        <v>36000</v>
      </c>
    </row>
    <row r="76" spans="1:30">
      <c r="A76" s="16" t="s">
        <v>48</v>
      </c>
      <c r="B76" s="46">
        <f>SUM(Calculations!$S$14:$S$16)/12</f>
        <v>1750</v>
      </c>
      <c r="C76" s="46">
        <f>SUM(Calculations!$S$14:$S$16)/12</f>
        <v>1750</v>
      </c>
      <c r="D76" s="46">
        <f>SUM(Calculations!$S$14:$S$16)/12</f>
        <v>1750</v>
      </c>
      <c r="E76" s="46">
        <f>SUM(Calculations!$S$14:$S$16)/12</f>
        <v>1750</v>
      </c>
      <c r="F76" s="46">
        <f>SUM(Calculations!$S$14:$S$16)/12</f>
        <v>1750</v>
      </c>
      <c r="G76" s="46">
        <f>SUM(Calculations!$S$14:$S$16)/12</f>
        <v>1750</v>
      </c>
      <c r="H76" s="46">
        <f>SUM(Calculations!$S$14:$S$16)/12</f>
        <v>1750</v>
      </c>
      <c r="I76" s="46">
        <f>SUM(Calculations!$S$14:$S$16)/12</f>
        <v>1750</v>
      </c>
      <c r="J76" s="46">
        <f>SUM(Calculations!$S$14:$S$16)/12</f>
        <v>1750</v>
      </c>
      <c r="K76" s="46">
        <f>SUM(Calculations!$S$14:$S$16)/12</f>
        <v>1750</v>
      </c>
      <c r="L76" s="46">
        <f>SUM(Calculations!$S$14:$S$16)/12</f>
        <v>1750</v>
      </c>
      <c r="M76" s="46">
        <f>SUM(Calculations!$S$14:$S$16)/12</f>
        <v>1750</v>
      </c>
      <c r="N76" s="46">
        <f>SUM(Calculations!$S$14:$S$16)/12</f>
        <v>1750</v>
      </c>
      <c r="O76" s="46">
        <f>SUM(Calculations!$S$14:$S$16)/12</f>
        <v>1750</v>
      </c>
      <c r="P76" s="46">
        <f>SUM(Calculations!$S$14:$S$16)/12</f>
        <v>1750</v>
      </c>
      <c r="Q76" s="46">
        <f>SUM(Calculations!$S$14:$S$16)/12</f>
        <v>1750</v>
      </c>
      <c r="R76" s="46">
        <f>SUM(Calculations!$S$14:$S$16)/12</f>
        <v>1750</v>
      </c>
      <c r="S76" s="46">
        <f>SUM(Calculations!$S$14:$S$16)/12</f>
        <v>1750</v>
      </c>
      <c r="T76" s="46">
        <f>SUM(Calculations!$S$14:$S$16)/12</f>
        <v>1750</v>
      </c>
      <c r="U76" s="46">
        <f>SUM(Calculations!$S$14:$S$16)/12</f>
        <v>1750</v>
      </c>
      <c r="V76" s="46">
        <f>SUM(Calculations!$S$14:$S$16)/12</f>
        <v>1750</v>
      </c>
      <c r="W76" s="46">
        <f>SUM(Calculations!$S$14:$S$16)/12</f>
        <v>1750</v>
      </c>
      <c r="X76" s="46">
        <f>SUM(Calculations!$S$14:$S$16)/12</f>
        <v>1750</v>
      </c>
      <c r="Y76" s="46">
        <f>SUM(Calculations!$S$14:$S$16)/12</f>
        <v>1750</v>
      </c>
      <c r="Z76" s="46">
        <f>SUMIF($B$13:$Y$13,"Yes",B76:Y76)</f>
        <v>22750</v>
      </c>
      <c r="AA76" s="46">
        <f>SUM(B76:M76)</f>
        <v>21000</v>
      </c>
      <c r="AB76" s="46">
        <f>SUM(B76:Y76)</f>
        <v>42000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3000</v>
      </c>
      <c r="C79" s="46">
        <f>Inputs!$B$31</f>
        <v>3000</v>
      </c>
      <c r="D79" s="46">
        <f>Inputs!$B$31</f>
        <v>3000</v>
      </c>
      <c r="E79" s="46">
        <f>Inputs!$B$31</f>
        <v>3000</v>
      </c>
      <c r="F79" s="46">
        <f>Inputs!$B$31</f>
        <v>3000</v>
      </c>
      <c r="G79" s="46">
        <f>Inputs!$B$31</f>
        <v>3000</v>
      </c>
      <c r="H79" s="46">
        <f>Inputs!$B$31</f>
        <v>3000</v>
      </c>
      <c r="I79" s="46">
        <f>Inputs!$B$31</f>
        <v>3000</v>
      </c>
      <c r="J79" s="46">
        <f>Inputs!$B$31</f>
        <v>3000</v>
      </c>
      <c r="K79" s="46">
        <f>Inputs!$B$31</f>
        <v>3000</v>
      </c>
      <c r="L79" s="46">
        <f>Inputs!$B$31</f>
        <v>3000</v>
      </c>
      <c r="M79" s="46">
        <f>Inputs!$B$31</f>
        <v>3000</v>
      </c>
      <c r="N79" s="46">
        <f>Inputs!$B$31</f>
        <v>3000</v>
      </c>
      <c r="O79" s="46">
        <f>Inputs!$B$31</f>
        <v>3000</v>
      </c>
      <c r="P79" s="46">
        <f>Inputs!$B$31</f>
        <v>3000</v>
      </c>
      <c r="Q79" s="46">
        <f>Inputs!$B$31</f>
        <v>3000</v>
      </c>
      <c r="R79" s="46">
        <f>Inputs!$B$31</f>
        <v>3000</v>
      </c>
      <c r="S79" s="46">
        <f>Inputs!$B$31</f>
        <v>3000</v>
      </c>
      <c r="T79" s="46">
        <f>Inputs!$B$31</f>
        <v>3000</v>
      </c>
      <c r="U79" s="46">
        <f>Inputs!$B$31</f>
        <v>3000</v>
      </c>
      <c r="V79" s="46">
        <f>Inputs!$B$31</f>
        <v>3000</v>
      </c>
      <c r="W79" s="46">
        <f>Inputs!$B$31</f>
        <v>3000</v>
      </c>
      <c r="X79" s="46">
        <f>Inputs!$B$31</f>
        <v>3000</v>
      </c>
      <c r="Y79" s="46">
        <f>Inputs!$B$31</f>
        <v>3000</v>
      </c>
      <c r="Z79" s="46">
        <f>SUMIF($B$13:$Y$13,"Yes",B79:Y79)</f>
        <v>39000</v>
      </c>
      <c r="AA79" s="46">
        <f>SUM(B79:M79)</f>
        <v>36000</v>
      </c>
      <c r="AB79" s="46">
        <f>SUM(B79:Y79)</f>
        <v>72000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74509.76552968565</v>
      </c>
      <c r="C81" s="46">
        <f>(SUM($AA$18:$AA$29)-SUM($AA$36,$AA$42,$AA$48,$AA$54,$AA$60,$AA$66,$AA$72:$AA$79))*Parameters!$B$37/12</f>
        <v>74509.76552968565</v>
      </c>
      <c r="D81" s="46">
        <f>(SUM($AA$18:$AA$29)-SUM($AA$36,$AA$42,$AA$48,$AA$54,$AA$60,$AA$66,$AA$72:$AA$79))*Parameters!$B$37/12</f>
        <v>74509.76552968565</v>
      </c>
      <c r="E81" s="46">
        <f>(SUM($AA$18:$AA$29)-SUM($AA$36,$AA$42,$AA$48,$AA$54,$AA$60,$AA$66,$AA$72:$AA$79))*Parameters!$B$37/12</f>
        <v>74509.76552968565</v>
      </c>
      <c r="F81" s="46">
        <f>(SUM($AA$18:$AA$29)-SUM($AA$36,$AA$42,$AA$48,$AA$54,$AA$60,$AA$66,$AA$72:$AA$79))*Parameters!$B$37/12</f>
        <v>74509.76552968565</v>
      </c>
      <c r="G81" s="46">
        <f>(SUM($AA$18:$AA$29)-SUM($AA$36,$AA$42,$AA$48,$AA$54,$AA$60,$AA$66,$AA$72:$AA$79))*Parameters!$B$37/12</f>
        <v>74509.76552968565</v>
      </c>
      <c r="H81" s="46">
        <f>(SUM($AA$18:$AA$29)-SUM($AA$36,$AA$42,$AA$48,$AA$54,$AA$60,$AA$66,$AA$72:$AA$79))*Parameters!$B$37/12</f>
        <v>74509.76552968565</v>
      </c>
      <c r="I81" s="46">
        <f>(SUM($AA$18:$AA$29)-SUM($AA$36,$AA$42,$AA$48,$AA$54,$AA$60,$AA$66,$AA$72:$AA$79))*Parameters!$B$37/12</f>
        <v>74509.76552968565</v>
      </c>
      <c r="J81" s="46">
        <f>(SUM($AA$18:$AA$29)-SUM($AA$36,$AA$42,$AA$48,$AA$54,$AA$60,$AA$66,$AA$72:$AA$79))*Parameters!$B$37/12</f>
        <v>74509.76552968565</v>
      </c>
      <c r="K81" s="46">
        <f>(SUM($AA$18:$AA$29)-SUM($AA$36,$AA$42,$AA$48,$AA$54,$AA$60,$AA$66,$AA$72:$AA$79))*Parameters!$B$37/12</f>
        <v>74509.76552968565</v>
      </c>
      <c r="L81" s="46">
        <f>(SUM($AA$18:$AA$29)-SUM($AA$36,$AA$42,$AA$48,$AA$54,$AA$60,$AA$66,$AA$72:$AA$79))*Parameters!$B$37/12</f>
        <v>74509.76552968565</v>
      </c>
      <c r="M81" s="46">
        <f>(SUM($AA$18:$AA$29)-SUM($AA$36,$AA$42,$AA$48,$AA$54,$AA$60,$AA$66,$AA$72:$AA$79))*Parameters!$B$37/12</f>
        <v>74509.76552968565</v>
      </c>
      <c r="N81" s="46">
        <f>(SUM($AA$18:$AA$29)-SUM($AA$36,$AA$42,$AA$48,$AA$54,$AA$60,$AA$66,$AA$72:$AA$79))*Parameters!$B$37/12</f>
        <v>74509.76552968565</v>
      </c>
      <c r="O81" s="46">
        <f>(SUM($AA$18:$AA$29)-SUM($AA$36,$AA$42,$AA$48,$AA$54,$AA$60,$AA$66,$AA$72:$AA$79))*Parameters!$B$37/12</f>
        <v>74509.76552968565</v>
      </c>
      <c r="P81" s="46">
        <f>(SUM($AA$18:$AA$29)-SUM($AA$36,$AA$42,$AA$48,$AA$54,$AA$60,$AA$66,$AA$72:$AA$79))*Parameters!$B$37/12</f>
        <v>74509.76552968565</v>
      </c>
      <c r="Q81" s="46">
        <f>(SUM($AA$18:$AA$29)-SUM($AA$36,$AA$42,$AA$48,$AA$54,$AA$60,$AA$66,$AA$72:$AA$79))*Parameters!$B$37/12</f>
        <v>74509.76552968565</v>
      </c>
      <c r="R81" s="46">
        <f>(SUM($AA$18:$AA$29)-SUM($AA$36,$AA$42,$AA$48,$AA$54,$AA$60,$AA$66,$AA$72:$AA$79))*Parameters!$B$37/12</f>
        <v>74509.76552968565</v>
      </c>
      <c r="S81" s="46">
        <f>(SUM($AA$18:$AA$29)-SUM($AA$36,$AA$42,$AA$48,$AA$54,$AA$60,$AA$66,$AA$72:$AA$79))*Parameters!$B$37/12</f>
        <v>74509.76552968565</v>
      </c>
      <c r="T81" s="46">
        <f>(SUM($AA$18:$AA$29)-SUM($AA$36,$AA$42,$AA$48,$AA$54,$AA$60,$AA$66,$AA$72:$AA$79))*Parameters!$B$37/12</f>
        <v>74509.76552968565</v>
      </c>
      <c r="U81" s="46">
        <f>(SUM($AA$18:$AA$29)-SUM($AA$36,$AA$42,$AA$48,$AA$54,$AA$60,$AA$66,$AA$72:$AA$79))*Parameters!$B$37/12</f>
        <v>74509.76552968565</v>
      </c>
      <c r="V81" s="46">
        <f>(SUM($AA$18:$AA$29)-SUM($AA$36,$AA$42,$AA$48,$AA$54,$AA$60,$AA$66,$AA$72:$AA$79))*Parameters!$B$37/12</f>
        <v>74509.76552968565</v>
      </c>
      <c r="W81" s="46">
        <f>(SUM($AA$18:$AA$29)-SUM($AA$36,$AA$42,$AA$48,$AA$54,$AA$60,$AA$66,$AA$72:$AA$79))*Parameters!$B$37/12</f>
        <v>74509.76552968565</v>
      </c>
      <c r="X81" s="46">
        <f>(SUM($AA$18:$AA$29)-SUM($AA$36,$AA$42,$AA$48,$AA$54,$AA$60,$AA$66,$AA$72:$AA$79))*Parameters!$B$37/12</f>
        <v>74509.76552968565</v>
      </c>
      <c r="Y81" s="46">
        <f>(SUM($AA$18:$AA$29)-SUM($AA$36,$AA$42,$AA$48,$AA$54,$AA$60,$AA$66,$AA$72:$AA$79))*Parameters!$B$37/12</f>
        <v>74509.76552968565</v>
      </c>
      <c r="Z81" s="46">
        <f>SUMIF($B$13:$Y$13,"Yes",B81:Y81)</f>
        <v>968626.9518859135</v>
      </c>
      <c r="AA81" s="46">
        <f>SUM(B81:M81)</f>
        <v>894117.1863562278</v>
      </c>
      <c r="AB81" s="46">
        <f>SUM(B81:Y81)</f>
        <v>1788234.372712456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380134.7655296857</v>
      </c>
      <c r="C88" s="19">
        <f>SUM(C72:C82,C66,C60,C54,C48,C42,C36)</f>
        <v>187634.7655296857</v>
      </c>
      <c r="D88" s="19">
        <f>SUM(D72:D82,D66,D60,D54,D48,D42,D36)</f>
        <v>187634.7655296857</v>
      </c>
      <c r="E88" s="19">
        <f>SUM(E72:E82,E66,E60,E54,E48,E42,E36)</f>
        <v>637634.7655296857</v>
      </c>
      <c r="F88" s="19">
        <f>SUM(F72:F82,F66,F60,F54,F48,F42,F36)</f>
        <v>187634.7655296857</v>
      </c>
      <c r="G88" s="19">
        <f>SUM(G72:G82,G66,G60,G54,G48,G42,G36)</f>
        <v>187634.7655296857</v>
      </c>
      <c r="H88" s="19">
        <f>SUM(H72:H82,H66,H60,H54,H48,H42,H36)</f>
        <v>380134.7655296857</v>
      </c>
      <c r="I88" s="19">
        <f>SUM(I72:I82,I66,I60,I54,I48,I42,I36)</f>
        <v>187634.7655296857</v>
      </c>
      <c r="J88" s="19">
        <f>SUM(J72:J82,J66,J60,J54,J48,J42,J36)</f>
        <v>187634.7655296857</v>
      </c>
      <c r="K88" s="19">
        <f>SUM(K72:K82,K66,K60,K54,K48,K42,K36)</f>
        <v>637634.7655296857</v>
      </c>
      <c r="L88" s="19">
        <f>SUM(L72:L82,L66,L60,L54,L48,L42,L36)</f>
        <v>187634.7655296857</v>
      </c>
      <c r="M88" s="19">
        <f>SUM(M72:M82,M66,M60,M54,M48,M42,M36)</f>
        <v>187634.7655296857</v>
      </c>
      <c r="N88" s="19">
        <f>SUM(N72:N82,N66,N60,N54,N48,N42,N36)</f>
        <v>380134.7655296857</v>
      </c>
      <c r="O88" s="19">
        <f>SUM(O72:O82,O66,O60,O54,O48,O42,O36)</f>
        <v>187634.7655296857</v>
      </c>
      <c r="P88" s="19">
        <f>SUM(P72:P82,P66,P60,P54,P48,P42,P36)</f>
        <v>187634.7655296857</v>
      </c>
      <c r="Q88" s="19">
        <f>SUM(Q72:Q82,Q66,Q60,Q54,Q48,Q42,Q36)</f>
        <v>637634.7655296857</v>
      </c>
      <c r="R88" s="19">
        <f>SUM(R72:R82,R66,R60,R54,R48,R42,R36)</f>
        <v>187634.7655296857</v>
      </c>
      <c r="S88" s="19">
        <f>SUM(S72:S82,S66,S60,S54,S48,S42,S36)</f>
        <v>187634.7655296857</v>
      </c>
      <c r="T88" s="19">
        <f>SUM(T72:T82,T66,T60,T54,T48,T42,T36)</f>
        <v>380134.7655296857</v>
      </c>
      <c r="U88" s="19">
        <f>SUM(U72:U82,U66,U60,U54,U48,U42,U36)</f>
        <v>187634.7655296857</v>
      </c>
      <c r="V88" s="19">
        <f>SUM(V72:V82,V66,V60,V54,V48,V42,V36)</f>
        <v>187634.7655296857</v>
      </c>
      <c r="W88" s="19">
        <f>SUM(W72:W82,W66,W60,W54,W48,W42,W36)</f>
        <v>637634.7655296857</v>
      </c>
      <c r="X88" s="19">
        <f>SUM(X72:X82,X66,X60,X54,X48,X42,X36)</f>
        <v>187634.7655296857</v>
      </c>
      <c r="Y88" s="19">
        <f>SUM(Y72:Y82,Y66,Y60,Y54,Y48,Y42,Y36)</f>
        <v>187634.7655296857</v>
      </c>
      <c r="Z88" s="19">
        <f>SUMIF($B$13:$Y$13,"Yes",B88:Y88)</f>
        <v>3916751.951885913</v>
      </c>
      <c r="AA88" s="19">
        <f>SUM(B88:M88)</f>
        <v>3536617.186356228</v>
      </c>
      <c r="AB88" s="19">
        <f>SUM(B88:Y88)</f>
        <v>7073234.372712456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750000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450000</v>
      </c>
    </row>
    <row r="100" spans="1:30" customHeight="1" ht="15.75">
      <c r="A100" s="18" t="s">
        <v>66</v>
      </c>
      <c r="B100" s="37">
        <f>Inputs!B48</f>
        <v>650000</v>
      </c>
    </row>
    <row r="101" spans="1:30" customHeight="1" ht="15.75">
      <c r="A101" s="1" t="s">
        <v>67</v>
      </c>
      <c r="B101" s="19">
        <f>SUM(B94:B100)</f>
        <v>2225000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6000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30</v>
      </c>
      <c r="D19" s="145"/>
      <c r="E19" s="20"/>
      <c r="F19" s="145" t="s">
        <v>93</v>
      </c>
      <c r="G19" s="20"/>
      <c r="H19" s="20"/>
      <c r="I19" s="145" t="s">
        <v>109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30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10000</v>
      </c>
    </row>
    <row r="31" spans="1:48">
      <c r="A31" s="5" t="s">
        <v>116</v>
      </c>
      <c r="B31" s="158">
        <v>3000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123</v>
      </c>
      <c r="B40" s="160" t="s">
        <v>93</v>
      </c>
    </row>
    <row r="41" spans="1:48">
      <c r="A41" s="55" t="s">
        <v>124</v>
      </c>
      <c r="B41" s="140">
        <v>0</v>
      </c>
    </row>
    <row r="42" spans="1:48">
      <c r="A42" s="55" t="s">
        <v>125</v>
      </c>
      <c r="B42" s="139" t="s">
        <v>126</v>
      </c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93</v>
      </c>
    </row>
    <row r="45" spans="1:48">
      <c r="A45" s="56" t="s">
        <v>130</v>
      </c>
      <c r="B45" s="161"/>
    </row>
    <row r="46" spans="1:48" customHeight="1" ht="30">
      <c r="A46" s="57" t="s">
        <v>131</v>
      </c>
      <c r="B46" s="161">
        <v>450000</v>
      </c>
    </row>
    <row r="47" spans="1:48" customHeight="1" ht="30">
      <c r="A47" s="57" t="s">
        <v>132</v>
      </c>
      <c r="B47" s="161">
        <v>350000</v>
      </c>
    </row>
    <row r="48" spans="1:48" customHeight="1" ht="30">
      <c r="A48" s="57" t="s">
        <v>133</v>
      </c>
      <c r="B48" s="161">
        <v>650000</v>
      </c>
    </row>
    <row r="49" spans="1:48" customHeight="1" ht="30">
      <c r="A49" s="57" t="s">
        <v>134</v>
      </c>
      <c r="B49" s="161">
        <v>25000</v>
      </c>
    </row>
    <row r="50" spans="1:48">
      <c r="A50" s="43"/>
      <c r="B50" s="36"/>
    </row>
    <row r="51" spans="1:48">
      <c r="A51" s="58" t="s">
        <v>135</v>
      </c>
      <c r="B51" s="161">
        <v>6000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300000</v>
      </c>
      <c r="B56" s="159">
        <v>0</v>
      </c>
      <c r="C56" s="162" t="s">
        <v>143</v>
      </c>
      <c r="D56" s="163" t="s">
        <v>144</v>
      </c>
      <c r="E56" s="163" t="s">
        <v>93</v>
      </c>
      <c r="F56" s="163" t="s">
        <v>145</v>
      </c>
    </row>
    <row r="57" spans="1:48">
      <c r="A57" s="157">
        <v>200000</v>
      </c>
      <c r="B57" s="157">
        <v>0</v>
      </c>
      <c r="C57" s="164" t="s">
        <v>146</v>
      </c>
      <c r="D57" s="165" t="s">
        <v>144</v>
      </c>
      <c r="E57" s="165" t="s">
        <v>92</v>
      </c>
      <c r="F57" s="165" t="s">
        <v>147</v>
      </c>
    </row>
    <row r="58" spans="1:48">
      <c r="A58" s="157">
        <v>22999</v>
      </c>
      <c r="B58" s="157">
        <v>0</v>
      </c>
      <c r="C58" s="164" t="s">
        <v>148</v>
      </c>
      <c r="D58" s="165" t="s">
        <v>149</v>
      </c>
      <c r="E58" s="165" t="s">
        <v>92</v>
      </c>
      <c r="F58" s="165" t="s">
        <v>150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152</v>
      </c>
      <c r="C65" s="10" t="s">
        <v>153</v>
      </c>
    </row>
    <row r="66" spans="1:48">
      <c r="A66" s="142" t="s">
        <v>126</v>
      </c>
      <c r="B66" s="159">
        <v>1772016</v>
      </c>
      <c r="C66" s="163">
        <v>1457397</v>
      </c>
      <c r="D66" s="49">
        <f>INDEX(Parameters!$D$79:$D$90,MATCH(Inputs!A66,Parameters!$C$79:$C$90,0))</f>
        <v>1</v>
      </c>
    </row>
    <row r="67" spans="1:48">
      <c r="A67" s="143" t="s">
        <v>154</v>
      </c>
      <c r="B67" s="157">
        <v>243480</v>
      </c>
      <c r="C67" s="165">
        <v>152460</v>
      </c>
      <c r="D67" s="49">
        <f>INDEX(Parameters!$D$79:$D$90,MATCH(Inputs!A67,Parameters!$C$79:$C$90,0))</f>
        <v>12</v>
      </c>
    </row>
    <row r="68" spans="1:48">
      <c r="A68" s="143" t="s">
        <v>155</v>
      </c>
      <c r="B68" s="157">
        <v>101900</v>
      </c>
      <c r="C68" s="165">
        <v>85623</v>
      </c>
      <c r="D68" s="49">
        <f>INDEX(Parameters!$D$79:$D$90,MATCH(Inputs!A68,Parameters!$C$79:$C$90,0))</f>
        <v>11</v>
      </c>
    </row>
    <row r="69" spans="1:48">
      <c r="A69" s="143" t="s">
        <v>156</v>
      </c>
      <c r="B69" s="157">
        <v>56500</v>
      </c>
      <c r="C69" s="165">
        <v>32652</v>
      </c>
      <c r="D69" s="49">
        <f>INDEX(Parameters!$D$79:$D$90,MATCH(Inputs!A69,Parameters!$C$79:$C$90,0))</f>
        <v>10</v>
      </c>
    </row>
    <row r="70" spans="1:48">
      <c r="A70" s="143" t="s">
        <v>157</v>
      </c>
      <c r="B70" s="157">
        <v>59180</v>
      </c>
      <c r="C70" s="165">
        <v>25623</v>
      </c>
      <c r="D70" s="49">
        <f>INDEX(Parameters!$D$79:$D$90,MATCH(Inputs!A70,Parameters!$C$79:$C$90,0))</f>
        <v>9</v>
      </c>
    </row>
    <row r="71" spans="1:48">
      <c r="A71" s="144" t="s">
        <v>158</v>
      </c>
      <c r="B71" s="158">
        <v>64169</v>
      </c>
      <c r="C71" s="167">
        <v>52654</v>
      </c>
      <c r="D71" s="49">
        <f>INDEX(Parameters!$D$79:$D$90,MATCH(Inputs!A71,Parameters!$C$79:$C$90,0))</f>
        <v>8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15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300000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Wheat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43466</v>
      </c>
      <c r="H4" s="20">
        <f>Inputs!C7</f>
        <v>50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1599.557862963579</v>
      </c>
      <c r="M4" s="25">
        <f>L4*H4</f>
        <v>79977.89314817893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4366792.96589057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192500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450000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525000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30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1.7</v>
      </c>
      <c r="H14" s="121">
        <f>IFERROR(IF(B14="meat",INDEX(Parameters!$A$22:$P$29,MATCH(Calculations!A14,Parameters!$A$22:$A$29,0),MATCH(Parameters!$I$22,Parameters!$A$22:$P$22,0))*G14,""),"")</f>
        <v>170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391000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547500</v>
      </c>
      <c r="R14" s="63">
        <f>IFERROR(D14*INDEX(Parameters!$A$22:$P$29,MATCH(Calculations!$A14,Parameters!$A$22:$A$29,0),MATCH(Parameters!$M$22,Parameters!$A$22:$P$22,0)),"")</f>
        <v>18000</v>
      </c>
      <c r="S14" s="63">
        <f>IFERROR(D14*INDEX(Parameters!$A$22:$P$29,MATCH(Calculations!$A14,Parameters!$A$22:$A$29,0),MATCH(Parameters!$N$22,Parameters!$A$22:$P$22,0)),"")</f>
        <v>21000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300000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22999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43168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43160</v>
      </c>
      <c r="F33" t="s">
        <v>164</v>
      </c>
      <c r="G33" s="128">
        <f>IF(Inputs!B79="","",DATE(YEAR(Inputs!B79),MONTH(Inputs!B79),DAY(Inputs!B79)))</f>
        <v>43140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43199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43191</v>
      </c>
      <c r="F34" t="s">
        <v>165</v>
      </c>
      <c r="G34" s="128">
        <f>IF(Inputs!B80="","",DATE(YEAR(Inputs!B80),MONTH(Inputs!B80),DAY(Inputs!B80)))</f>
        <v>43168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43229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43221</v>
      </c>
      <c r="F35" t="s">
        <v>167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43260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43252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43290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43282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43321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43313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43352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43344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43382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43374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43413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43405</v>
      </c>
      <c r="F41" t="s">
        <v>231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43443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43435</v>
      </c>
      <c r="F42" t="s">
        <v>232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43474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43505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205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300</v>
      </c>
      <c r="B24" s="21" t="s">
        <v>301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302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108</v>
      </c>
      <c r="B26" s="16" t="s">
        <v>301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301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301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301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301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300</v>
      </c>
      <c r="B43" s="72">
        <v>450</v>
      </c>
      <c r="C43" s="72">
        <v>250</v>
      </c>
    </row>
    <row r="44" spans="1:36">
      <c r="A44" t="s">
        <v>302</v>
      </c>
      <c r="B44" s="72">
        <v>50000</v>
      </c>
      <c r="C44" s="72">
        <v>200000</v>
      </c>
    </row>
    <row r="45" spans="1:36">
      <c r="A45" t="s">
        <v>108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318</v>
      </c>
      <c r="H52" s="12" t="s">
        <v>128</v>
      </c>
      <c r="I52" s="12" t="s">
        <v>319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233</v>
      </c>
      <c r="E53" s="10" t="s">
        <v>192</v>
      </c>
      <c r="F53" s="10" t="s">
        <v>252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170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229</v>
      </c>
      <c r="J76" s="11" t="s">
        <v>352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93</v>
      </c>
      <c r="F77" s="12" t="s">
        <v>93</v>
      </c>
      <c r="G77" s="12" t="s">
        <v>354</v>
      </c>
      <c r="H77" s="12" t="s">
        <v>128</v>
      </c>
      <c r="I77" s="12" t="s">
        <v>355</v>
      </c>
      <c r="J77" s="136" t="s">
        <v>356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360</v>
      </c>
      <c r="H78" s="12" t="s">
        <v>319</v>
      </c>
      <c r="I78" s="12" t="s">
        <v>361</v>
      </c>
      <c r="J78" s="70" t="s">
        <v>362</v>
      </c>
      <c r="K78" s="12" t="s">
        <v>93</v>
      </c>
      <c r="AJ78" s="12"/>
    </row>
    <row r="79" spans="1:36">
      <c r="B79" s="176">
        <v>10</v>
      </c>
      <c r="C79" s="12" t="s">
        <v>126</v>
      </c>
      <c r="D79" s="12">
        <v>1</v>
      </c>
      <c r="E79" s="12" t="s">
        <v>363</v>
      </c>
      <c r="F79" s="12" t="s">
        <v>364</v>
      </c>
      <c r="G79" s="12" t="s">
        <v>109</v>
      </c>
      <c r="I79" s="12" t="s">
        <v>170</v>
      </c>
      <c r="J79" s="70" t="s">
        <v>365</v>
      </c>
      <c r="K79" s="12" t="s">
        <v>93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366</v>
      </c>
      <c r="F80" s="12" t="s">
        <v>367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370</v>
      </c>
      <c r="D82" s="12">
        <f>D81+1</f>
        <v>4</v>
      </c>
      <c r="J82" s="70"/>
    </row>
    <row r="83" spans="1:36">
      <c r="B83" s="176">
        <v>50</v>
      </c>
      <c r="C83" s="12" t="s">
        <v>371</v>
      </c>
      <c r="D83" s="12">
        <f>D82+1</f>
        <v>5</v>
      </c>
    </row>
    <row r="84" spans="1:36">
      <c r="B84" s="176">
        <v>60</v>
      </c>
      <c r="C84" s="12" t="s">
        <v>372</v>
      </c>
      <c r="D84" s="12">
        <f>D83+1</f>
        <v>6</v>
      </c>
    </row>
    <row r="85" spans="1:36">
      <c r="B85" s="176">
        <v>70</v>
      </c>
      <c r="C85" s="12" t="s">
        <v>373</v>
      </c>
      <c r="D85" s="12">
        <f>D84+1</f>
        <v>7</v>
      </c>
    </row>
    <row r="86" spans="1:36">
      <c r="B86" s="176">
        <v>80</v>
      </c>
      <c r="C86" s="12" t="s">
        <v>158</v>
      </c>
      <c r="D86" s="12">
        <f>D85+1</f>
        <v>8</v>
      </c>
    </row>
    <row r="87" spans="1:36">
      <c r="B87" s="176">
        <v>89.99999999999999</v>
      </c>
      <c r="C87" s="12" t="s">
        <v>157</v>
      </c>
      <c r="D87" s="12">
        <f>D86+1</f>
        <v>9</v>
      </c>
    </row>
    <row r="88" spans="1:36">
      <c r="B88" s="176">
        <v>99.99999999999999</v>
      </c>
      <c r="C88" s="12" t="s">
        <v>156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