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<sst xmlns="http://schemas.openxmlformats.org/spreadsheetml/2006/main" uniqueCount="365">
  <si>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</si>
  <si>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</si>
  <si>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</si>
  <si>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</si>
  <si>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</si>
  <si>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</si>
  <si>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</si>
  <si>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</si>
  <si>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</si>
  <si>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</si>
  <si>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</si>
  <si>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</si>
  <si>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</si>
  <si>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</si>
  <si>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</si>
  <si>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</si>
  <si>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</si>
  <si>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</si>
  <si>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</si>
  <si>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</si>
  <si>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</si>
  <si>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</si>
  <si>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</si>
  <si>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</si>
  <si>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</si>
  <si>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</si>
  <si>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</si>
  <si>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</si>
  <si>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</si>
  <si>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</si>
  <si>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</si>
  <si>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</si>
  <si>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</si>
  <si>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</si>
  <si>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</si>
  <si>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</si>
  <si>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</si>
  <si>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</si>
  <si>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</si>
  <si>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</si>
  <si>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</si>
  <si>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</si>
  <si>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</si>
  <si>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</si>
  <si>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</si>
  <si>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</si>
  <si>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</si>
  <si>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</si>
  <si>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</si>
  <si>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</si>
  <si>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</si>
  <si>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</si>
  <si>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</si>
  <si>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</si>
  <si>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</si>
  <si>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</si>
  <si>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</si>
  <si>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</si>
  <si>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</si>
  <si>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</si>
  <si>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</si>
  <si>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</si>
  <si>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</si>
  <si>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</si>
  <si>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</si>
  <si>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</si>
  <si>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</si>
  <si>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</si>
  <si>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</si>
  <si>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</si>
  <si>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</si>
  <si>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</si>
  <si>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</si>
  <si>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</si>
  <si>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</si>
  <si>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</si>
  <si>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</si>
  <si>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</si>
  <si>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</si>
  <si>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</si>
  <si>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</si>
  <si>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</si>
  <si>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</si>
  <si>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</si>
  <si>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</si>
  <si>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</si>
  <si>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</si>
  <si>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</si>
  <si>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</si>
  <si>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</si>
  <si>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</si>
  <si>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</si>
  <si>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</si>
  <si>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</si>
  <si>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February</t>
  </si>
  <si>
    <t>Onions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</si>
  <si>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</si>
  <si>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</si>
  <si>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</si>
  <si>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</si>
  <si>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</si>
  <si>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</si>
  <si>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</si>
  <si>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</si>
  <si>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</si>
  <si>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</si>
  <si>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</si>
  <si>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</si>
  <si>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</si>
  <si>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</si>
  <si>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</si>
  <si>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</si>
  <si>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</si>
  <si>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contract jobs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</si>
  <si>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</si>
  <si>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</si>
  <si>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</si>
  <si>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</si>
  <si>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</si>
  <si>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</si>
  <si>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</si>
  <si>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</si>
  <si>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</si>
  <si>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</si>
  <si>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</si>
  <si>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</si>
  <si>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April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</si>
  <si>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</si>
  <si>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</si>
  <si>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</si>
  <si>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</si>
  <si>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</si>
  <si>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</si>
  <si>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</si>
  <si>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</si>
  <si>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</si>
  <si>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</si>
  <si>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</si>
  <si>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</si>
  <si>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</si>
  <si>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</si>
  <si>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</si>
  <si>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</si>
  <si>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</si>
  <si>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</si>
  <si>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</si>
  <si>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</si>
  <si>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</si>
  <si>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</si>
  <si>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</si>
  <si>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</si>
  <si>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</si>
  <si>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</si>
  <si>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</si>
  <si>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</si>
  <si>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2018/2/12</t>
  </si>
  <si>
    <t>Loan terms</t>
  </si>
  <si>
    <t>Expected disbursement date</t>
  </si>
  <si>
    <t>Expected first repayment date</t>
  </si>
  <si>
    <t>2018/3/15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</si>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</sst>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November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Onions,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contract jobs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0.4416976069261723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2018</v>
      </c>
    </row>
    <row r="13" spans="1:7">
      <c r="B13" s="1" t="s">
        <v>8</v>
      </c>
      <c r="C13" s="67">
        <f>IFERROR(Output!B107/Output!B101,"")</f>
        <v>0.2103448275862069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583715.9048592107</v>
      </c>
    </row>
    <row r="18" spans="1:7">
      <c r="B18" s="1" t="s">
        <v>12</v>
      </c>
      <c r="C18" s="36">
        <f>MIN(Output!B6:M6)</f>
        <v>-166928.6613810673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255320.4883658762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1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-68678.66138106727</v>
      </c>
      <c r="C6" s="51">
        <f>C30-C88</f>
        <v>-44428.66138106727</v>
      </c>
      <c r="D6" s="51">
        <f>D30-D88</f>
        <v>-166928.6613810673</v>
      </c>
      <c r="E6" s="51">
        <f>E30-E88</f>
        <v>126536.7241034655</v>
      </c>
      <c r="F6" s="51">
        <f>F30-F88</f>
        <v>140036.7241034655</v>
      </c>
      <c r="G6" s="51">
        <f>G30-G88</f>
        <v>255320.4883658762</v>
      </c>
      <c r="H6" s="51">
        <f>H30-H88</f>
        <v>-68678.66138106727</v>
      </c>
      <c r="I6" s="51">
        <f>I30-I88</f>
        <v>-44428.66138106727</v>
      </c>
      <c r="J6" s="51">
        <f>J30-J88</f>
        <v>-66928.66138106727</v>
      </c>
      <c r="K6" s="51">
        <f>K30-K88</f>
        <v>126536.7241034655</v>
      </c>
      <c r="L6" s="51">
        <f>L30-L88</f>
        <v>140036.7241034655</v>
      </c>
      <c r="M6" s="51">
        <f>M30-M88</f>
        <v>255320.4883658762</v>
      </c>
      <c r="N6" s="51">
        <f>N30-N88</f>
        <v>-68678.66138106727</v>
      </c>
      <c r="O6" s="51">
        <f>O30-O88</f>
        <v>-44428.66138106727</v>
      </c>
      <c r="P6" s="51">
        <f>P30-P88</f>
        <v>-166928.6613810673</v>
      </c>
      <c r="Q6" s="51">
        <f>Q30-Q88</f>
        <v>126536.7241034655</v>
      </c>
      <c r="R6" s="51">
        <f>R30-R88</f>
        <v>140036.7241034655</v>
      </c>
      <c r="S6" s="51">
        <f>S30-S88</f>
        <v>255320.4883658762</v>
      </c>
      <c r="T6" s="51">
        <f>T30-T88</f>
        <v>-68678.66138106727</v>
      </c>
      <c r="U6" s="51">
        <f>U30-U88</f>
        <v>-44428.66138106727</v>
      </c>
      <c r="V6" s="51">
        <f>V30-V88</f>
        <v>-66928.66138106727</v>
      </c>
      <c r="W6" s="51">
        <f>W30-W88</f>
        <v>126536.7241034655</v>
      </c>
      <c r="X6" s="51">
        <f>X30-X88</f>
        <v>140036.7241034655</v>
      </c>
      <c r="Y6" s="51">
        <f>Y30-Y88</f>
        <v>255320.4883658762</v>
      </c>
      <c r="Z6" s="51">
        <f>SUMIF($B$13:$Y$13,"Yes",B6:Y6)</f>
        <v>515037.2434781435</v>
      </c>
      <c r="AA6" s="51">
        <f>AA30-AA88</f>
        <v>583715.9048592109</v>
      </c>
      <c r="AB6" s="51">
        <f>AB30-AB88</f>
        <v>1167431.809718422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-1300</v>
      </c>
      <c r="H7" s="80">
        <f>IF(ISERROR(VLOOKUP(MONTH(H5),Inputs!$D$66:$D$71,1,0)),"",INDEX(Inputs!$B$66:$B$71,MATCH(MONTH(Output!H5),Inputs!$D$66:$D$71,0))-INDEX(Inputs!$C$66:$C$71,MATCH(MONTH(Output!H5),Inputs!$D$66:$D$71,0)))</f>
        <v>9498</v>
      </c>
      <c r="I7" s="80">
        <f>IF(ISERROR(VLOOKUP(MONTH(I5),Inputs!$D$66:$D$71,1,0)),"",INDEX(Inputs!$B$66:$B$71,MATCH(MONTH(Output!I5),Inputs!$D$66:$D$71,0))-INDEX(Inputs!$C$66:$C$71,MATCH(MONTH(Output!I5),Inputs!$D$66:$D$71,0)))</f>
        <v>1719</v>
      </c>
      <c r="J7" s="80">
        <f>IF(ISERROR(VLOOKUP(MONTH(J5),Inputs!$D$66:$D$71,1,0)),"",INDEX(Inputs!$B$66:$B$71,MATCH(MONTH(Output!J5),Inputs!$D$66:$D$71,0))-INDEX(Inputs!$C$66:$C$71,MATCH(MONTH(Output!J5),Inputs!$D$66:$D$71,0)))</f>
        <v>-1143</v>
      </c>
      <c r="K7" s="80">
        <f>IF(ISERROR(VLOOKUP(MONTH(K5),Inputs!$D$66:$D$71,1,0)),"",INDEX(Inputs!$B$66:$B$71,MATCH(MONTH(Output!K5),Inputs!$D$66:$D$71,0))-INDEX(Inputs!$C$66:$C$71,MATCH(MONTH(Output!K5),Inputs!$D$66:$D$71,0)))</f>
        <v>71213</v>
      </c>
      <c r="L7" s="80">
        <f>IF(ISERROR(VLOOKUP(MONTH(L5),Inputs!$D$66:$D$71,1,0)),"",INDEX(Inputs!$B$66:$B$71,MATCH(MONTH(Output!L5),Inputs!$D$66:$D$71,0))-INDEX(Inputs!$C$66:$C$71,MATCH(MONTH(Output!L5),Inputs!$D$66:$D$71,0)))</f>
        <v>-69826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-1300</v>
      </c>
      <c r="T7" s="80">
        <f>IF(ISERROR(VLOOKUP(MONTH(T5),Inputs!$D$66:$D$71,1,0)),"",INDEX(Inputs!$B$66:$B$71,MATCH(MONTH(Output!T5),Inputs!$D$66:$D$71,0))-INDEX(Inputs!$C$66:$C$71,MATCH(MONTH(Output!T5),Inputs!$D$66:$D$71,0)))</f>
        <v>9498</v>
      </c>
      <c r="U7" s="80">
        <f>IF(ISERROR(VLOOKUP(MONTH(U5),Inputs!$D$66:$D$71,1,0)),"",INDEX(Inputs!$B$66:$B$71,MATCH(MONTH(Output!U5),Inputs!$D$66:$D$71,0))-INDEX(Inputs!$C$66:$C$71,MATCH(MONTH(Output!U5),Inputs!$D$66:$D$71,0)))</f>
        <v>1719</v>
      </c>
      <c r="V7" s="80">
        <f>IF(ISERROR(VLOOKUP(MONTH(V5),Inputs!$D$66:$D$71,1,0)),"",INDEX(Inputs!$B$66:$B$71,MATCH(MONTH(Output!V5),Inputs!$D$66:$D$71,0))-INDEX(Inputs!$C$66:$C$71,MATCH(MONTH(Output!V5),Inputs!$D$66:$D$71,0)))</f>
        <v>-1143</v>
      </c>
      <c r="W7" s="80">
        <f>IF(ISERROR(VLOOKUP(MONTH(W5),Inputs!$D$66:$D$71,1,0)),"",INDEX(Inputs!$B$66:$B$71,MATCH(MONTH(Output!W5),Inputs!$D$66:$D$71,0))-INDEX(Inputs!$C$66:$C$71,MATCH(MONTH(Output!W5),Inputs!$D$66:$D$71,0)))</f>
        <v>71213</v>
      </c>
      <c r="X7" s="80">
        <f>IF(ISERROR(VLOOKUP(MONTH(X5),Inputs!$D$66:$D$71,1,0)),"",INDEX(Inputs!$B$66:$B$71,MATCH(MONTH(Output!X5),Inputs!$D$66:$D$71,0))-INDEX(Inputs!$C$66:$C$71,MATCH(MONTH(Output!X5),Inputs!$D$66:$D$71,0)))</f>
        <v>-69826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231321.3386189327</v>
      </c>
      <c r="C11" s="80">
        <f>C6+C9-C10</f>
        <v>-74428.66138106727</v>
      </c>
      <c r="D11" s="80">
        <f>D6+D9-D10</f>
        <v>-196928.6613810673</v>
      </c>
      <c r="E11" s="80">
        <f>E6+E9-E10</f>
        <v>96536.7241034655</v>
      </c>
      <c r="F11" s="80">
        <f>F6+F9-F10</f>
        <v>110036.7241034655</v>
      </c>
      <c r="G11" s="80">
        <f>G6+G9-G10</f>
        <v>225320.4883658762</v>
      </c>
      <c r="H11" s="80">
        <f>H6+H9-H10</f>
        <v>-98678.66138106727</v>
      </c>
      <c r="I11" s="80">
        <f>I6+I9-I10</f>
        <v>-74428.66138106727</v>
      </c>
      <c r="J11" s="80">
        <f>J6+J9-J10</f>
        <v>-96928.66138106727</v>
      </c>
      <c r="K11" s="80">
        <f>K6+K9-K10</f>
        <v>96536.7241034655</v>
      </c>
      <c r="L11" s="80">
        <f>L6+L9-L10</f>
        <v>110036.7241034655</v>
      </c>
      <c r="M11" s="80">
        <f>M6+M9-M10</f>
        <v>225320.4883658762</v>
      </c>
      <c r="N11" s="80">
        <f>N6+N9-N10</f>
        <v>-98678.66138106727</v>
      </c>
      <c r="O11" s="80">
        <f>O6+O9-O10</f>
        <v>-44428.66138106727</v>
      </c>
      <c r="P11" s="80">
        <f>P6+P9-P10</f>
        <v>-166928.6613810673</v>
      </c>
      <c r="Q11" s="80">
        <f>Q6+Q9-Q10</f>
        <v>126536.7241034655</v>
      </c>
      <c r="R11" s="80">
        <f>R6+R9-R10</f>
        <v>140036.7241034655</v>
      </c>
      <c r="S11" s="80">
        <f>S6+S9-S10</f>
        <v>255320.4883658762</v>
      </c>
      <c r="T11" s="80">
        <f>T6+T9-T10</f>
        <v>-68678.66138106727</v>
      </c>
      <c r="U11" s="80">
        <f>U6+U9-U10</f>
        <v>-44428.66138106727</v>
      </c>
      <c r="V11" s="80">
        <f>V6+V9-V10</f>
        <v>-66928.66138106727</v>
      </c>
      <c r="W11" s="80">
        <f>W6+W9-W10</f>
        <v>126536.7241034655</v>
      </c>
      <c r="X11" s="80">
        <f>X6+X9-X10</f>
        <v>140036.7241034655</v>
      </c>
      <c r="Y11" s="80">
        <f>Y6+Y9-Y10</f>
        <v>255320.4883658762</v>
      </c>
      <c r="Z11" s="85">
        <f>SUMIF($B$13:$Y$13,"Yes",B11:Y11)</f>
        <v>455037.2434781435</v>
      </c>
      <c r="AA11" s="80">
        <f>SUM(B11:M11)</f>
        <v>553715.9048592107</v>
      </c>
      <c r="AB11" s="46">
        <f>SUM(B11:Y11)</f>
        <v>1107431.809718422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0.1605199328479727</v>
      </c>
      <c r="D12" s="82">
        <f>IF(D13="Yes",IF(SUM($B$10:D10)/(SUM($B$6:D6)+SUM($B$9:D9))&lt;0,999.99,SUM($B$10:D10)/(SUM($B$6:D6)+SUM($B$9:D9))),"")</f>
        <v>3.005407350423877</v>
      </c>
      <c r="E12" s="82">
        <f>IF(E13="Yes",IF(SUM($B$10:E10)/(SUM($B$6:E6)+SUM($B$9:E9))&lt;0,999.99,SUM($B$10:E10)/(SUM($B$6:E6)+SUM($B$9:E9))),"")</f>
        <v>0.6143313680491395</v>
      </c>
      <c r="F12" s="82">
        <f>IF(F13="Yes",IF(SUM($B$10:F10)/(SUM($B$6:F6)+SUM($B$9:F9))&lt;0,999.99,SUM($B$10:F10)/(SUM($B$6:F6)+SUM($B$9:F9))),"")</f>
        <v>0.4187934041787661</v>
      </c>
      <c r="G12" s="82">
        <f>IF(G13="Yes",IF(SUM($B$10:G10)/(SUM($B$6:G6)+SUM($B$9:G9))&lt;0,999.99,SUM($B$10:G10)/(SUM($B$6:G6)+SUM($B$9:G9))),"")</f>
        <v>0.2768253180144791</v>
      </c>
      <c r="H12" s="82">
        <f>IF(H13="Yes",IF(SUM($B$10:H10)/(SUM($B$6:H6)+SUM($B$9:H9))&lt;0,999.99,SUM($B$10:H10)/(SUM($B$6:H6)+SUM($B$9:H9))),"")</f>
        <v>0.3804054898538149</v>
      </c>
      <c r="I12" s="82">
        <f>IF(I13="Yes",IF(SUM($B$10:I10)/(SUM($B$6:I6)+SUM($B$9:I9))&lt;0,999.99,SUM($B$10:I10)/(SUM($B$6:I6)+SUM($B$9:I9))),"")</f>
        <v>0.4897951990481534</v>
      </c>
      <c r="J12" s="82">
        <f>IF(J13="Yes",IF(SUM($B$10:J10)/(SUM($B$6:J6)+SUM($B$9:J9))&lt;0,999.99,SUM($B$10:J10)/(SUM($B$6:J6)+SUM($B$9:J9))),"")</f>
        <v>0.6633096413041062</v>
      </c>
      <c r="K12" s="82">
        <f>IF(K13="Yes",IF(SUM($B$10:K10)/(SUM($B$6:K6)+SUM($B$9:K9))&lt;0,999.99,SUM($B$10:K10)/(SUM($B$6:K6)+SUM($B$9:K9))),"")</f>
        <v>0.5528723133373701</v>
      </c>
      <c r="L12" s="82">
        <f>IF(L13="Yes",IF(SUM($B$10:L10)/(SUM($B$6:L6)+SUM($B$9:L9))&lt;0,999.99,SUM($B$10:L10)/(SUM($B$6:L6)+SUM($B$9:L9))),"")</f>
        <v>0.4774064102410303</v>
      </c>
      <c r="M12" s="82">
        <f>IF(M13="Yes",IF(SUM($B$10:M10)/(SUM($B$6:M6)+SUM($B$9:M9))&lt;0,999.99,SUM($B$10:M10)/(SUM($B$6:M6)+SUM($B$9:M9))),"")</f>
        <v>0.3734231761423079</v>
      </c>
      <c r="N12" s="82">
        <f>IF(N13="Yes",IF(SUM($B$10:N10)/(SUM($B$6:N6)+SUM($B$9:N9))&lt;0,999.99,SUM($B$10:N10)/(SUM($B$6:N6)+SUM($B$9:N9))),"")</f>
        <v>0.4416976069261723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176965.3854845328</v>
      </c>
      <c r="F18" s="36">
        <f>R18</f>
        <v>176965.3854845328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176965.3854845328</v>
      </c>
      <c r="L18" s="36">
        <f>X18</f>
        <v>176965.3854845328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176965.3854845328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176965.3854845328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176965.3854845328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176965.3854845328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707861.5419381311</v>
      </c>
      <c r="AA18" s="36">
        <f>SUM(B18:M18)</f>
        <v>707861.5419381311</v>
      </c>
      <c r="AB18" s="36">
        <f>SUM(B18:Y18)</f>
        <v>1415723.083876262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292249.1497469434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292249.1497469434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292249.1497469434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292249.1497469434</v>
      </c>
      <c r="Z19" s="36">
        <f>SUMIF($B$13:$Y$13,"Yes",B19:Y19)</f>
        <v>584498.2994938869</v>
      </c>
      <c r="AA19" s="36">
        <f>SUM(B19:M19)</f>
        <v>584498.2994938869</v>
      </c>
      <c r="AB19" s="36">
        <f>SUM(B19:Y19)</f>
        <v>1168996.598987774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20000</v>
      </c>
      <c r="C30" s="19">
        <f>SUM(C18:C29)</f>
        <v>20000</v>
      </c>
      <c r="D30" s="19">
        <f>SUM(D18:D29)</f>
        <v>20000</v>
      </c>
      <c r="E30" s="19">
        <f>SUM(E18:E29)</f>
        <v>196965.3854845328</v>
      </c>
      <c r="F30" s="19">
        <f>SUM(F18:F29)</f>
        <v>196965.3854845328</v>
      </c>
      <c r="G30" s="19">
        <f>SUM(G18:G29)</f>
        <v>312249.1497469434</v>
      </c>
      <c r="H30" s="19">
        <f>SUM(H18:H29)</f>
        <v>20000</v>
      </c>
      <c r="I30" s="19">
        <f>SUM(I18:I29)</f>
        <v>20000</v>
      </c>
      <c r="J30" s="19">
        <f>SUM(J18:J29)</f>
        <v>20000</v>
      </c>
      <c r="K30" s="19">
        <f>SUM(K18:K29)</f>
        <v>196965.3854845328</v>
      </c>
      <c r="L30" s="19">
        <f>SUM(L18:L29)</f>
        <v>196965.3854845328</v>
      </c>
      <c r="M30" s="19">
        <f>SUM(M18:M29)</f>
        <v>312249.1497469434</v>
      </c>
      <c r="N30" s="19">
        <f>SUM(N18:N29)</f>
        <v>20000</v>
      </c>
      <c r="O30" s="19">
        <f>SUM(O18:O29)</f>
        <v>20000</v>
      </c>
      <c r="P30" s="19">
        <f>SUM(P18:P29)</f>
        <v>20000</v>
      </c>
      <c r="Q30" s="19">
        <f>SUM(Q18:Q29)</f>
        <v>196965.3854845328</v>
      </c>
      <c r="R30" s="19">
        <f>SUM(R18:R29)</f>
        <v>196965.3854845328</v>
      </c>
      <c r="S30" s="19">
        <f>SUM(S18:S29)</f>
        <v>312249.1497469434</v>
      </c>
      <c r="T30" s="19">
        <f>SUM(T18:T29)</f>
        <v>20000</v>
      </c>
      <c r="U30" s="19">
        <f>SUM(U18:U29)</f>
        <v>20000</v>
      </c>
      <c r="V30" s="19">
        <f>SUM(V18:V29)</f>
        <v>20000</v>
      </c>
      <c r="W30" s="19">
        <f>SUM(W18:W29)</f>
        <v>196965.3854845328</v>
      </c>
      <c r="X30" s="19">
        <f>SUM(X18:X29)</f>
        <v>196965.3854845328</v>
      </c>
      <c r="Y30" s="19">
        <f>SUM(Y18:Y29)</f>
        <v>312249.1497469434</v>
      </c>
      <c r="Z30" s="19">
        <f>SUMIF($B$13:$Y$13,"Yes",B30:Y30)</f>
        <v>1552359.841432018</v>
      </c>
      <c r="AA30" s="19">
        <f>SUM(B30:M30)</f>
        <v>1532359.841432018</v>
      </c>
      <c r="AB30" s="19">
        <f>SUM(B30:Y30)</f>
        <v>3064719.682864036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16000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16000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16000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48000</v>
      </c>
      <c r="AA36" s="36">
        <f>SUM(B36:M36)</f>
        <v>32000</v>
      </c>
      <c r="AB36" s="36">
        <f>SUM(B36:Y36)</f>
        <v>64000</v>
      </c>
      <c r="AC36" s="73"/>
    </row>
    <row r="37" spans="1:30" hidden="true" outlineLevel="1">
      <c r="A37" s="181" t="str">
        <f>Calculations!$A$4</f>
        <v>Tomatoes</v>
      </c>
      <c r="B37" s="36">
        <f>N37</f>
        <v>10000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10000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10000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10000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30000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 t="str">
        <f>Calculations!$A$5</f>
        <v>Onions</v>
      </c>
      <c r="B38" s="36">
        <f>N38</f>
        <v>6000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6000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6000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6000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18000</v>
      </c>
      <c r="AA38" s="36">
        <f>SUM(B38:M38)</f>
        <v>12000</v>
      </c>
      <c r="AB38" s="36">
        <f>SUM(B38:Y38)</f>
        <v>24000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8250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8250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8250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8250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24750</v>
      </c>
      <c r="AA42" s="36">
        <f>SUM(B42:M42)</f>
        <v>16500</v>
      </c>
      <c r="AB42" s="36">
        <f>SUM(B42:Y42)</f>
        <v>33000</v>
      </c>
    </row>
    <row r="43" spans="1:30" hidden="true" outlineLevel="1">
      <c r="A43" s="181" t="str">
        <f>Calculations!$A$4</f>
        <v>Tomatoes</v>
      </c>
      <c r="B43" s="36">
        <f>N43</f>
        <v>3750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3750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3750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3750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11250</v>
      </c>
      <c r="AA43" s="36">
        <f>SUM(B43:M43)</f>
        <v>7500</v>
      </c>
      <c r="AB43" s="36">
        <f>SUM(B43:Y43)</f>
        <v>15000</v>
      </c>
    </row>
    <row r="44" spans="1:30" hidden="true" outlineLevel="1">
      <c r="A44" s="181" t="str">
        <f>Calculations!$A$5</f>
        <v>Onions</v>
      </c>
      <c r="B44" s="36">
        <f>N44</f>
        <v>4500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4500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4500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4500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13500</v>
      </c>
      <c r="AA44" s="36">
        <f>SUM(B44:M44)</f>
        <v>9000</v>
      </c>
      <c r="AB44" s="36">
        <f>SUM(B44:Y44)</f>
        <v>18000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22500</v>
      </c>
      <c r="E48" s="36">
        <f>Q48</f>
        <v>6000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22500</v>
      </c>
      <c r="K48" s="36">
        <f>W48</f>
        <v>6000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22500</v>
      </c>
      <c r="Q48" s="46">
        <f>SUM(Q49:Q53)</f>
        <v>6000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22500</v>
      </c>
      <c r="W48" s="46">
        <f>SUM(W49:W53)</f>
        <v>6000</v>
      </c>
      <c r="X48" s="46">
        <f>SUM(X49:X53)</f>
        <v>0</v>
      </c>
      <c r="Y48" s="46">
        <f>SUM(Y49:Y53)</f>
        <v>0</v>
      </c>
      <c r="Z48" s="46">
        <f>SUMIF($B$13:$Y$13,"Yes",B48:Y48)</f>
        <v>57000</v>
      </c>
      <c r="AA48" s="46">
        <f>SUM(B48:M48)</f>
        <v>57000</v>
      </c>
      <c r="AB48" s="46">
        <f>SUM(B48:Y48)</f>
        <v>114000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22500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22500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22500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22500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45000</v>
      </c>
      <c r="AA49" s="46">
        <f>SUM(B49:M49)</f>
        <v>45000</v>
      </c>
      <c r="AB49" s="46">
        <f>SUM(B49:Y49)</f>
        <v>90000</v>
      </c>
    </row>
    <row r="50" spans="1:30" hidden="true" outlineLevel="1">
      <c r="A50" s="181" t="str">
        <f>Calculations!$A$5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6000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6000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6000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6000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12000</v>
      </c>
      <c r="AA50" s="46">
        <f>SUM(B50:M50)</f>
        <v>12000</v>
      </c>
      <c r="AB50" s="46">
        <f>SUM(B50:Y50)</f>
        <v>24000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11000</v>
      </c>
      <c r="C60" s="36">
        <f>O60</f>
        <v>11000</v>
      </c>
      <c r="D60" s="36">
        <f>P60</f>
        <v>11000</v>
      </c>
      <c r="E60" s="36">
        <f>Q60</f>
        <v>11000</v>
      </c>
      <c r="F60" s="36">
        <f>R60</f>
        <v>3500</v>
      </c>
      <c r="G60" s="36">
        <f>S60</f>
        <v>3500</v>
      </c>
      <c r="H60" s="36">
        <f>T60</f>
        <v>11000</v>
      </c>
      <c r="I60" s="36">
        <f>U60</f>
        <v>11000</v>
      </c>
      <c r="J60" s="36">
        <f>V60</f>
        <v>11000</v>
      </c>
      <c r="K60" s="36">
        <f>W60</f>
        <v>11000</v>
      </c>
      <c r="L60" s="36">
        <f>X60</f>
        <v>3500</v>
      </c>
      <c r="M60" s="36">
        <f>Y60</f>
        <v>3500</v>
      </c>
      <c r="N60" s="46">
        <f>SUM(N61:N65)</f>
        <v>11000</v>
      </c>
      <c r="O60" s="46">
        <f>SUM(O61:O65)</f>
        <v>11000</v>
      </c>
      <c r="P60" s="46">
        <f>SUM(P61:P65)</f>
        <v>11000</v>
      </c>
      <c r="Q60" s="46">
        <f>SUM(Q61:Q65)</f>
        <v>11000</v>
      </c>
      <c r="R60" s="46">
        <f>SUM(R61:R65)</f>
        <v>3500</v>
      </c>
      <c r="S60" s="46">
        <f>SUM(S61:S65)</f>
        <v>3500</v>
      </c>
      <c r="T60" s="46">
        <f>SUM(T61:T65)</f>
        <v>11000</v>
      </c>
      <c r="U60" s="46">
        <f>SUM(U61:U65)</f>
        <v>11000</v>
      </c>
      <c r="V60" s="46">
        <f>SUM(V61:V65)</f>
        <v>11000</v>
      </c>
      <c r="W60" s="46">
        <f>SUM(W61:W65)</f>
        <v>11000</v>
      </c>
      <c r="X60" s="46">
        <f>SUM(X61:X65)</f>
        <v>3500</v>
      </c>
      <c r="Y60" s="46">
        <f>SUM(Y61:Y65)</f>
        <v>3500</v>
      </c>
      <c r="Z60" s="46">
        <f>SUMIF($B$13:$Y$13,"Yes",B60:Y60)</f>
        <v>113000</v>
      </c>
      <c r="AA60" s="46">
        <f>SUM(B60:M60)</f>
        <v>102000</v>
      </c>
      <c r="AB60" s="46">
        <f>SUM(B60:Y60)</f>
        <v>204000</v>
      </c>
    </row>
    <row r="61" spans="1:30" hidden="true" outlineLevel="1">
      <c r="A61" s="181" t="str">
        <f>Calculations!$A$4</f>
        <v>Tomatoes</v>
      </c>
      <c r="B61" s="36">
        <f>N61</f>
        <v>7500</v>
      </c>
      <c r="C61" s="36">
        <f>O61</f>
        <v>7500</v>
      </c>
      <c r="D61" s="36">
        <f>P61</f>
        <v>7500</v>
      </c>
      <c r="E61" s="36">
        <f>Q61</f>
        <v>7500</v>
      </c>
      <c r="F61" s="36">
        <f>R61</f>
        <v>0</v>
      </c>
      <c r="G61" s="36">
        <f>S61</f>
        <v>0</v>
      </c>
      <c r="H61" s="36">
        <f>T61</f>
        <v>7500</v>
      </c>
      <c r="I61" s="36">
        <f>U61</f>
        <v>7500</v>
      </c>
      <c r="J61" s="36">
        <f>V61</f>
        <v>7500</v>
      </c>
      <c r="K61" s="36">
        <f>W61</f>
        <v>7500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7500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7500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7500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7500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7500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7500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7500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7500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67500</v>
      </c>
      <c r="AA61" s="46">
        <f>SUM(B61:M61)</f>
        <v>60000</v>
      </c>
      <c r="AB61" s="46">
        <f>SUM(B61:Y61)</f>
        <v>120000</v>
      </c>
    </row>
    <row r="62" spans="1:30" hidden="true" outlineLevel="1">
      <c r="A62" s="181" t="str">
        <f>Calculations!$A$5</f>
        <v>Onions</v>
      </c>
      <c r="B62" s="36">
        <f>N62</f>
        <v>3500</v>
      </c>
      <c r="C62" s="36">
        <f>O62</f>
        <v>3500</v>
      </c>
      <c r="D62" s="36">
        <f>P62</f>
        <v>3500</v>
      </c>
      <c r="E62" s="36">
        <f>Q62</f>
        <v>3500</v>
      </c>
      <c r="F62" s="36">
        <f>R62</f>
        <v>3500</v>
      </c>
      <c r="G62" s="36">
        <f>S62</f>
        <v>3500</v>
      </c>
      <c r="H62" s="36">
        <f>T62</f>
        <v>3500</v>
      </c>
      <c r="I62" s="36">
        <f>U62</f>
        <v>3500</v>
      </c>
      <c r="J62" s="36">
        <f>V62</f>
        <v>3500</v>
      </c>
      <c r="K62" s="36">
        <f>W62</f>
        <v>3500</v>
      </c>
      <c r="L62" s="36">
        <f>X62</f>
        <v>3500</v>
      </c>
      <c r="M62" s="36">
        <f>Y62</f>
        <v>3500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3500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3500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3500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3500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3500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3500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3500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3500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3500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3500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3500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3500</v>
      </c>
      <c r="Z62" s="46">
        <f>SUMIF($B$13:$Y$13,"Yes",B62:Y62)</f>
        <v>45500</v>
      </c>
      <c r="AA62" s="46">
        <f>SUM(B62:M62)</f>
        <v>42000</v>
      </c>
      <c r="AB62" s="46">
        <f>SUM(B62:Y62)</f>
        <v>84000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Onions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100000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100000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100000</v>
      </c>
      <c r="AA72" s="46">
        <f>SUM(B72:M72)</f>
        <v>100000</v>
      </c>
      <c r="AB72" s="46">
        <f>SUM(B72:Y72)</f>
        <v>200000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21000</v>
      </c>
      <c r="C79" s="46">
        <f>Inputs!$B$31</f>
        <v>21000</v>
      </c>
      <c r="D79" s="46">
        <f>Inputs!$B$31</f>
        <v>21000</v>
      </c>
      <c r="E79" s="46">
        <f>Inputs!$B$31</f>
        <v>21000</v>
      </c>
      <c r="F79" s="46">
        <f>Inputs!$B$31</f>
        <v>21000</v>
      </c>
      <c r="G79" s="46">
        <f>Inputs!$B$31</f>
        <v>21000</v>
      </c>
      <c r="H79" s="46">
        <f>Inputs!$B$31</f>
        <v>21000</v>
      </c>
      <c r="I79" s="46">
        <f>Inputs!$B$31</f>
        <v>21000</v>
      </c>
      <c r="J79" s="46">
        <f>Inputs!$B$31</f>
        <v>21000</v>
      </c>
      <c r="K79" s="46">
        <f>Inputs!$B$31</f>
        <v>21000</v>
      </c>
      <c r="L79" s="46">
        <f>Inputs!$B$31</f>
        <v>21000</v>
      </c>
      <c r="M79" s="46">
        <f>Inputs!$B$31</f>
        <v>21000</v>
      </c>
      <c r="N79" s="46">
        <f>Inputs!$B$31</f>
        <v>21000</v>
      </c>
      <c r="O79" s="46">
        <f>Inputs!$B$31</f>
        <v>21000</v>
      </c>
      <c r="P79" s="46">
        <f>Inputs!$B$31</f>
        <v>21000</v>
      </c>
      <c r="Q79" s="46">
        <f>Inputs!$B$31</f>
        <v>21000</v>
      </c>
      <c r="R79" s="46">
        <f>Inputs!$B$31</f>
        <v>21000</v>
      </c>
      <c r="S79" s="46">
        <f>Inputs!$B$31</f>
        <v>21000</v>
      </c>
      <c r="T79" s="46">
        <f>Inputs!$B$31</f>
        <v>21000</v>
      </c>
      <c r="U79" s="46">
        <f>Inputs!$B$31</f>
        <v>21000</v>
      </c>
      <c r="V79" s="46">
        <f>Inputs!$B$31</f>
        <v>21000</v>
      </c>
      <c r="W79" s="46">
        <f>Inputs!$B$31</f>
        <v>21000</v>
      </c>
      <c r="X79" s="46">
        <f>Inputs!$B$31</f>
        <v>21000</v>
      </c>
      <c r="Y79" s="46">
        <f>Inputs!$B$31</f>
        <v>21000</v>
      </c>
      <c r="Z79" s="46">
        <f>SUMIF($B$13:$Y$13,"Yes",B79:Y79)</f>
        <v>273000</v>
      </c>
      <c r="AA79" s="46">
        <f>SUM(B79:M79)</f>
        <v>252000</v>
      </c>
      <c r="AB79" s="46">
        <f>SUM(B79:Y79)</f>
        <v>504000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32428.66138106727</v>
      </c>
      <c r="C81" s="46">
        <f>(SUM($AA$18:$AA$29)-SUM($AA$36,$AA$42,$AA$48,$AA$54,$AA$60,$AA$66,$AA$72:$AA$79))*Parameters!$B$37/12</f>
        <v>32428.66138106727</v>
      </c>
      <c r="D81" s="46">
        <f>(SUM($AA$18:$AA$29)-SUM($AA$36,$AA$42,$AA$48,$AA$54,$AA$60,$AA$66,$AA$72:$AA$79))*Parameters!$B$37/12</f>
        <v>32428.66138106727</v>
      </c>
      <c r="E81" s="46">
        <f>(SUM($AA$18:$AA$29)-SUM($AA$36,$AA$42,$AA$48,$AA$54,$AA$60,$AA$66,$AA$72:$AA$79))*Parameters!$B$37/12</f>
        <v>32428.66138106727</v>
      </c>
      <c r="F81" s="46">
        <f>(SUM($AA$18:$AA$29)-SUM($AA$36,$AA$42,$AA$48,$AA$54,$AA$60,$AA$66,$AA$72:$AA$79))*Parameters!$B$37/12</f>
        <v>32428.66138106727</v>
      </c>
      <c r="G81" s="46">
        <f>(SUM($AA$18:$AA$29)-SUM($AA$36,$AA$42,$AA$48,$AA$54,$AA$60,$AA$66,$AA$72:$AA$79))*Parameters!$B$37/12</f>
        <v>32428.66138106727</v>
      </c>
      <c r="H81" s="46">
        <f>(SUM($AA$18:$AA$29)-SUM($AA$36,$AA$42,$AA$48,$AA$54,$AA$60,$AA$66,$AA$72:$AA$79))*Parameters!$B$37/12</f>
        <v>32428.66138106727</v>
      </c>
      <c r="I81" s="46">
        <f>(SUM($AA$18:$AA$29)-SUM($AA$36,$AA$42,$AA$48,$AA$54,$AA$60,$AA$66,$AA$72:$AA$79))*Parameters!$B$37/12</f>
        <v>32428.66138106727</v>
      </c>
      <c r="J81" s="46">
        <f>(SUM($AA$18:$AA$29)-SUM($AA$36,$AA$42,$AA$48,$AA$54,$AA$60,$AA$66,$AA$72:$AA$79))*Parameters!$B$37/12</f>
        <v>32428.66138106727</v>
      </c>
      <c r="K81" s="46">
        <f>(SUM($AA$18:$AA$29)-SUM($AA$36,$AA$42,$AA$48,$AA$54,$AA$60,$AA$66,$AA$72:$AA$79))*Parameters!$B$37/12</f>
        <v>32428.66138106727</v>
      </c>
      <c r="L81" s="46">
        <f>(SUM($AA$18:$AA$29)-SUM($AA$36,$AA$42,$AA$48,$AA$54,$AA$60,$AA$66,$AA$72:$AA$79))*Parameters!$B$37/12</f>
        <v>32428.66138106727</v>
      </c>
      <c r="M81" s="46">
        <f>(SUM($AA$18:$AA$29)-SUM($AA$36,$AA$42,$AA$48,$AA$54,$AA$60,$AA$66,$AA$72:$AA$79))*Parameters!$B$37/12</f>
        <v>32428.66138106727</v>
      </c>
      <c r="N81" s="46">
        <f>(SUM($AA$18:$AA$29)-SUM($AA$36,$AA$42,$AA$48,$AA$54,$AA$60,$AA$66,$AA$72:$AA$79))*Parameters!$B$37/12</f>
        <v>32428.66138106727</v>
      </c>
      <c r="O81" s="46">
        <f>(SUM($AA$18:$AA$29)-SUM($AA$36,$AA$42,$AA$48,$AA$54,$AA$60,$AA$66,$AA$72:$AA$79))*Parameters!$B$37/12</f>
        <v>32428.66138106727</v>
      </c>
      <c r="P81" s="46">
        <f>(SUM($AA$18:$AA$29)-SUM($AA$36,$AA$42,$AA$48,$AA$54,$AA$60,$AA$66,$AA$72:$AA$79))*Parameters!$B$37/12</f>
        <v>32428.66138106727</v>
      </c>
      <c r="Q81" s="46">
        <f>(SUM($AA$18:$AA$29)-SUM($AA$36,$AA$42,$AA$48,$AA$54,$AA$60,$AA$66,$AA$72:$AA$79))*Parameters!$B$37/12</f>
        <v>32428.66138106727</v>
      </c>
      <c r="R81" s="46">
        <f>(SUM($AA$18:$AA$29)-SUM($AA$36,$AA$42,$AA$48,$AA$54,$AA$60,$AA$66,$AA$72:$AA$79))*Parameters!$B$37/12</f>
        <v>32428.66138106727</v>
      </c>
      <c r="S81" s="46">
        <f>(SUM($AA$18:$AA$29)-SUM($AA$36,$AA$42,$AA$48,$AA$54,$AA$60,$AA$66,$AA$72:$AA$79))*Parameters!$B$37/12</f>
        <v>32428.66138106727</v>
      </c>
      <c r="T81" s="46">
        <f>(SUM($AA$18:$AA$29)-SUM($AA$36,$AA$42,$AA$48,$AA$54,$AA$60,$AA$66,$AA$72:$AA$79))*Parameters!$B$37/12</f>
        <v>32428.66138106727</v>
      </c>
      <c r="U81" s="46">
        <f>(SUM($AA$18:$AA$29)-SUM($AA$36,$AA$42,$AA$48,$AA$54,$AA$60,$AA$66,$AA$72:$AA$79))*Parameters!$B$37/12</f>
        <v>32428.66138106727</v>
      </c>
      <c r="V81" s="46">
        <f>(SUM($AA$18:$AA$29)-SUM($AA$36,$AA$42,$AA$48,$AA$54,$AA$60,$AA$66,$AA$72:$AA$79))*Parameters!$B$37/12</f>
        <v>32428.66138106727</v>
      </c>
      <c r="W81" s="46">
        <f>(SUM($AA$18:$AA$29)-SUM($AA$36,$AA$42,$AA$48,$AA$54,$AA$60,$AA$66,$AA$72:$AA$79))*Parameters!$B$37/12</f>
        <v>32428.66138106727</v>
      </c>
      <c r="X81" s="46">
        <f>(SUM($AA$18:$AA$29)-SUM($AA$36,$AA$42,$AA$48,$AA$54,$AA$60,$AA$66,$AA$72:$AA$79))*Parameters!$B$37/12</f>
        <v>32428.66138106727</v>
      </c>
      <c r="Y81" s="46">
        <f>(SUM($AA$18:$AA$29)-SUM($AA$36,$AA$42,$AA$48,$AA$54,$AA$60,$AA$66,$AA$72:$AA$79))*Parameters!$B$37/12</f>
        <v>32428.66138106727</v>
      </c>
      <c r="Z81" s="46">
        <f>SUMIF($B$13:$Y$13,"Yes",B81:Y81)</f>
        <v>421572.5979538744</v>
      </c>
      <c r="AA81" s="46">
        <f>SUM(B81:M81)</f>
        <v>389143.9365728071</v>
      </c>
      <c r="AB81" s="46">
        <f>SUM(B81:Y81)</f>
        <v>778287.8731456141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88678.66138106727</v>
      </c>
      <c r="C88" s="19">
        <f>SUM(C72:C82,C66,C60,C54,C48,C42,C36)</f>
        <v>64428.66138106727</v>
      </c>
      <c r="D88" s="19">
        <f>SUM(D72:D82,D66,D60,D54,D48,D42,D36)</f>
        <v>186928.6613810673</v>
      </c>
      <c r="E88" s="19">
        <f>SUM(E72:E82,E66,E60,E54,E48,E42,E36)</f>
        <v>70428.66138106727</v>
      </c>
      <c r="F88" s="19">
        <f>SUM(F72:F82,F66,F60,F54,F48,F42,F36)</f>
        <v>56928.66138106727</v>
      </c>
      <c r="G88" s="19">
        <f>SUM(G72:G82,G66,G60,G54,G48,G42,G36)</f>
        <v>56928.66138106727</v>
      </c>
      <c r="H88" s="19">
        <f>SUM(H72:H82,H66,H60,H54,H48,H42,H36)</f>
        <v>88678.66138106727</v>
      </c>
      <c r="I88" s="19">
        <f>SUM(I72:I82,I66,I60,I54,I48,I42,I36)</f>
        <v>64428.66138106727</v>
      </c>
      <c r="J88" s="19">
        <f>SUM(J72:J82,J66,J60,J54,J48,J42,J36)</f>
        <v>86928.66138106727</v>
      </c>
      <c r="K88" s="19">
        <f>SUM(K72:K82,K66,K60,K54,K48,K42,K36)</f>
        <v>70428.66138106727</v>
      </c>
      <c r="L88" s="19">
        <f>SUM(L72:L82,L66,L60,L54,L48,L42,L36)</f>
        <v>56928.66138106727</v>
      </c>
      <c r="M88" s="19">
        <f>SUM(M72:M82,M66,M60,M54,M48,M42,M36)</f>
        <v>56928.66138106727</v>
      </c>
      <c r="N88" s="19">
        <f>SUM(N72:N82,N66,N60,N54,N48,N42,N36)</f>
        <v>88678.66138106727</v>
      </c>
      <c r="O88" s="19">
        <f>SUM(O72:O82,O66,O60,O54,O48,O42,O36)</f>
        <v>64428.66138106727</v>
      </c>
      <c r="P88" s="19">
        <f>SUM(P72:P82,P66,P60,P54,P48,P42,P36)</f>
        <v>186928.6613810673</v>
      </c>
      <c r="Q88" s="19">
        <f>SUM(Q72:Q82,Q66,Q60,Q54,Q48,Q42,Q36)</f>
        <v>70428.66138106727</v>
      </c>
      <c r="R88" s="19">
        <f>SUM(R72:R82,R66,R60,R54,R48,R42,R36)</f>
        <v>56928.66138106727</v>
      </c>
      <c r="S88" s="19">
        <f>SUM(S72:S82,S66,S60,S54,S48,S42,S36)</f>
        <v>56928.66138106727</v>
      </c>
      <c r="T88" s="19">
        <f>SUM(T72:T82,T66,T60,T54,T48,T42,T36)</f>
        <v>88678.66138106727</v>
      </c>
      <c r="U88" s="19">
        <f>SUM(U72:U82,U66,U60,U54,U48,U42,U36)</f>
        <v>64428.66138106727</v>
      </c>
      <c r="V88" s="19">
        <f>SUM(V72:V82,V66,V60,V54,V48,V42,V36)</f>
        <v>86928.66138106727</v>
      </c>
      <c r="W88" s="19">
        <f>SUM(W72:W82,W66,W60,W54,W48,W42,W36)</f>
        <v>70428.66138106727</v>
      </c>
      <c r="X88" s="19">
        <f>SUM(X72:X82,X66,X60,X54,X48,X42,X36)</f>
        <v>56928.66138106727</v>
      </c>
      <c r="Y88" s="19">
        <f>SUM(Y72:Y82,Y66,Y60,Y54,Y48,Y42,Y36)</f>
        <v>56928.66138106727</v>
      </c>
      <c r="Z88" s="19">
        <f>SUMIF($B$13:$Y$13,"Yes",B88:Y88)</f>
        <v>1037322.597953874</v>
      </c>
      <c r="AA88" s="19">
        <f>SUM(B88:M88)</f>
        <v>948643.936572807</v>
      </c>
      <c r="AB88" s="19">
        <f>SUM(B88:Y88)</f>
        <v>1897287.873145614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1450000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60</v>
      </c>
      <c r="N7" s="153">
        <v>1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100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20000</v>
      </c>
    </row>
    <row r="31" spans="1:48">
      <c r="A31" s="5" t="s">
        <v>115</v>
      </c>
      <c r="B31" s="158">
        <v>21000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>
        <v>100000</v>
      </c>
    </row>
    <row r="42" spans="1:48">
      <c r="A42" s="55" t="s">
        <v>125</v>
      </c>
      <c r="B42" s="139" t="s">
        <v>126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300000</v>
      </c>
    </row>
    <row r="46" spans="1:48" customHeight="1" ht="30">
      <c r="A46" s="57" t="s">
        <v>131</v>
      </c>
      <c r="B46" s="161">
        <v>500000</v>
      </c>
    </row>
    <row r="47" spans="1:48" customHeight="1" ht="30">
      <c r="A47" s="57" t="s">
        <v>132</v>
      </c>
      <c r="B47" s="161">
        <v>100000</v>
      </c>
    </row>
    <row r="48" spans="1:48" customHeight="1" ht="30">
      <c r="A48" s="57" t="s">
        <v>133</v>
      </c>
      <c r="B48" s="161">
        <v>500000</v>
      </c>
    </row>
    <row r="49" spans="1:48" customHeight="1" ht="30">
      <c r="A49" s="57" t="s">
        <v>134</v>
      </c>
      <c r="B49" s="161">
        <v>50000</v>
      </c>
    </row>
    <row r="50" spans="1:48">
      <c r="A50" s="43"/>
      <c r="B50" s="36"/>
    </row>
    <row r="51" spans="1:48">
      <c r="A51" s="58" t="s">
        <v>135</v>
      </c>
      <c r="B51" s="161">
        <v>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144</v>
      </c>
      <c r="C65" s="10" t="s">
        <v>145</v>
      </c>
    </row>
    <row r="66" spans="1:48">
      <c r="A66" s="142" t="s">
        <v>146</v>
      </c>
      <c r="B66" s="159">
        <v>213000</v>
      </c>
      <c r="C66" s="163">
        <v>214300</v>
      </c>
      <c r="D66" s="49">
        <f>INDEX(Parameters!$D$79:$D$90,MATCH(Inputs!A66,Parameters!$C$79:$C$90,0))</f>
        <v>7</v>
      </c>
    </row>
    <row r="67" spans="1:48">
      <c r="A67" s="143" t="s">
        <v>147</v>
      </c>
      <c r="B67" s="157">
        <v>808050</v>
      </c>
      <c r="C67" s="165">
        <v>798552</v>
      </c>
      <c r="D67" s="49">
        <f>INDEX(Parameters!$D$79:$D$90,MATCH(Inputs!A67,Parameters!$C$79:$C$90,0))</f>
        <v>8</v>
      </c>
    </row>
    <row r="68" spans="1:48">
      <c r="A68" s="143" t="s">
        <v>148</v>
      </c>
      <c r="B68" s="157">
        <v>430335</v>
      </c>
      <c r="C68" s="165">
        <v>428616</v>
      </c>
      <c r="D68" s="49">
        <f>INDEX(Parameters!$D$79:$D$90,MATCH(Inputs!A68,Parameters!$C$79:$C$90,0))</f>
        <v>9</v>
      </c>
    </row>
    <row r="69" spans="1:48">
      <c r="A69" s="143" t="s">
        <v>149</v>
      </c>
      <c r="B69" s="157">
        <v>391470</v>
      </c>
      <c r="C69" s="165">
        <v>392613</v>
      </c>
      <c r="D69" s="49">
        <f>INDEX(Parameters!$D$79:$D$90,MATCH(Inputs!A69,Parameters!$C$79:$C$90,0))</f>
        <v>10</v>
      </c>
    </row>
    <row r="70" spans="1:48">
      <c r="A70" s="143" t="s">
        <v>150</v>
      </c>
      <c r="B70" s="157">
        <v>651137</v>
      </c>
      <c r="C70" s="165">
        <v>579924</v>
      </c>
      <c r="D70" s="49">
        <f>INDEX(Parameters!$D$79:$D$90,MATCH(Inputs!A70,Parameters!$C$79:$C$90,0))</f>
        <v>11</v>
      </c>
    </row>
    <row r="71" spans="1:48">
      <c r="A71" s="144" t="s">
        <v>151</v>
      </c>
      <c r="B71" s="158">
        <v>406630</v>
      </c>
      <c r="C71" s="167">
        <v>476456</v>
      </c>
      <c r="D71" s="49">
        <f>INDEX(Parameters!$D$79:$D$90,MATCH(Inputs!A71,Parameters!$C$79:$C$90,0))</f>
        <v>12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12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300000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43221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43405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25280.76935493325</v>
      </c>
      <c r="N4" s="22">
        <f>Calculations!U4</f>
        <v>0.6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707861.5419381311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0.6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3750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22500</v>
      </c>
      <c r="Z4" s="33">
        <f>IF(Inputs!I7=Parameters!$F$78,H4*INDEX(Parameters!$A$3:$AI$18,MATCH(Calculations!A4,Parameters!$A$3:$A$18,0),MATCH(Parameters!$Q$3,Parameters!$A$3:$AI$3,0)),0)</f>
        <v>30000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43221</v>
      </c>
      <c r="D5" s="39">
        <f>IFERROR(DATE(YEAR(B5),MONTH(B5)+T5,DAY(B5)),"")</f>
        <v>43282</v>
      </c>
      <c r="E5" s="39">
        <f>IFERROR(IF($S5=0,"",IF($S5=2,DATE(YEAR(B5),MONTH(B5)+6,DAY(B5)),IF($S5=1,B5,""))),"")</f>
        <v>43313</v>
      </c>
      <c r="F5" s="39">
        <f>IFERROR(IF($S5=0,"",IF($S5=2,DATE(YEAR(C5),MONTH(C5)+6,DAY(C5)),IF($S5=1,C5,""))),"")</f>
        <v>43405</v>
      </c>
      <c r="G5" s="39">
        <f>IFERROR(IF($S5=0,"",IF($S5=2,DATE(YEAR(D5),MONTH(D5)+6,DAY(D5)),IF($S5=1,D5,""))),"")</f>
        <v>43466</v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3479.15654460647</v>
      </c>
      <c r="M5" s="30">
        <f>L5*H5</f>
        <v>10437.46963381941</v>
      </c>
      <c r="N5" s="22">
        <f>Calculations!U5</f>
        <v>0.5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584498.2994938869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4500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21000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43174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43160</v>
      </c>
      <c r="F33" t="s">
        <v>157</v>
      </c>
      <c r="G33" s="128">
        <f>IF(Inputs!B79="","",DATE(YEAR(Inputs!B79),MONTH(Inputs!B79),DAY(Inputs!B79)))</f>
        <v>43143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43205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43191</v>
      </c>
      <c r="F34" t="s">
        <v>158</v>
      </c>
      <c r="G34" s="128">
        <f>IF(Inputs!B80="","",DATE(YEAR(Inputs!B80),MONTH(Inputs!B80),DAY(Inputs!B80)))</f>
        <v>43174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43235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43221</v>
      </c>
      <c r="F35" t="s">
        <v>160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43266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43252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43296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43282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43327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43313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43358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43344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43388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43374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43419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43405</v>
      </c>
      <c r="F41" t="s">
        <v>224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43449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43435</v>
      </c>
      <c r="F42" t="s">
        <v>225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43480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43511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198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97</v>
      </c>
      <c r="B41" s="191" t="s">
        <v>123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311</v>
      </c>
      <c r="H52" s="12" t="s">
        <v>128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123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123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123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123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123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123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123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123</v>
      </c>
      <c r="F77" s="12" t="s">
        <v>123</v>
      </c>
      <c r="G77" s="12" t="s">
        <v>347</v>
      </c>
      <c r="H77" s="12" t="s">
        <v>128</v>
      </c>
      <c r="I77" s="12" t="s">
        <v>348</v>
      </c>
      <c r="J77" s="136" t="s">
        <v>349</v>
      </c>
      <c r="K77" s="12" t="s">
        <v>123</v>
      </c>
      <c r="AJ77" s="12"/>
    </row>
    <row r="78" spans="1:36">
      <c r="A78" t="s">
        <v>123</v>
      </c>
      <c r="B78" s="176">
        <v>5</v>
      </c>
      <c r="C78" s="134" t="s">
        <v>350</v>
      </c>
      <c r="D78" s="133"/>
      <c r="E78" s="12" t="s">
        <v>351</v>
      </c>
      <c r="F78" s="12" t="s">
        <v>93</v>
      </c>
      <c r="G78" s="12" t="s">
        <v>352</v>
      </c>
      <c r="H78" s="12" t="s">
        <v>312</v>
      </c>
      <c r="I78" s="12" t="s">
        <v>353</v>
      </c>
      <c r="J78" s="70" t="s">
        <v>354</v>
      </c>
      <c r="K78" s="12" t="s">
        <v>123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163</v>
      </c>
      <c r="J79" s="70" t="s">
        <v>359</v>
      </c>
      <c r="K79" s="12" t="s">
        <v>123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126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146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