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<sst xmlns="http://schemas.openxmlformats.org/spreadsheetml/2006/main" uniqueCount="372">
  <si>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</si>
  <si>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</si>
  <si>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</si>
  <si>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</si>
  <si>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</si>
  <si>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</si>
  <si>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</si>
  <si>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</si>
  <si>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</si>
  <si>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</si>
  <si>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</si>
  <si>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</si>
  <si>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</si>
  <si>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</si>
  <si>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</si>
  <si>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</si>
  <si>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</si>
  <si>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</si>
  <si>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</si>
  <si>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</si>
  <si>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</si>
  <si>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</si>
  <si>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</si>
  <si>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</si>
  <si>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</si>
  <si>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</si>
  <si>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</si>
  <si>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</si>
  <si>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</si>
  <si>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</si>
  <si>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</si>
  <si>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</si>
  <si>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</si>
  <si>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</si>
  <si>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</si>
  <si>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</si>
  <si>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</si>
  <si>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</si>
  <si>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</si>
  <si>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</si>
  <si>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</si>
  <si>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</si>
  <si>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</si>
  <si>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</si>
  <si>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</si>
  <si>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</si>
  <si>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</si>
  <si>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</si>
  <si>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</si>
  <si>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</si>
  <si>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</si>
  <si>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</si>
  <si>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</si>
  <si>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</si>
  <si>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</si>
  <si>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</si>
  <si>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</si>
  <si>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</si>
  <si>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</si>
  <si>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</si>
  <si>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</si>
  <si>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</si>
  <si>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</si>
  <si>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</si>
  <si>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</si>
  <si>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</si>
  <si>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</si>
  <si>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</si>
  <si>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</si>
  <si>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</si>
  <si>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</si>
  <si>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</si>
  <si>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</si>
  <si>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</si>
  <si>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</si>
  <si>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</si>
  <si>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</si>
  <si>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</si>
  <si>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</si>
  <si>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</si>
  <si>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</si>
  <si>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</si>
  <si>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</si>
  <si>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</si>
  <si>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</si>
  <si>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</si>
  <si>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</si>
  <si>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</si>
  <si>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</si>
  <si>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</si>
  <si>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</si>
  <si>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Inorganic fertizers</t>
  </si>
  <si>
    <t>No</t>
  </si>
  <si>
    <t>February</t>
  </si>
  <si>
    <t>Beans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</si>
  <si>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</si>
  <si>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</si>
  <si>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</si>
  <si>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</si>
  <si>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</si>
  <si>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</si>
  <si>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</si>
  <si>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</si>
  <si>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</si>
  <si>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</si>
  <si>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</si>
  <si>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</si>
  <si>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</si>
  <si>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</si>
  <si>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</si>
  <si>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</si>
  <si>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</si>
  <si>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</si>
  <si>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</si>
  <si>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</si>
  <si>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</si>
  <si>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</si>
  <si>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</si>
  <si>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</si>
  <si>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</si>
  <si>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</si>
  <si>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</si>
  <si>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</si>
  <si>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</si>
  <si>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</si>
  <si>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</si>
  <si>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</si>
  <si>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</si>
  <si>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</si>
  <si>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</si>
  <si>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</si>
  <si>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</si>
  <si>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</si>
  <si>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</si>
  <si>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</si>
  <si>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</si>
  <si>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</si>
  <si>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</si>
  <si>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</si>
  <si>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</si>
  <si>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</si>
  <si>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</si>
  <si>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</si>
  <si>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4/8/2016</t>
  </si>
  <si>
    <t xml:space="preserve">musoni </t>
  </si>
  <si>
    <t xml:space="preserve">good loan history </t>
  </si>
  <si>
    <t>1/23/2017</t>
  </si>
  <si>
    <t>1/23/2015</t>
  </si>
  <si>
    <t xml:space="preserve">mobile </t>
  </si>
  <si>
    <t xml:space="preserve">poor loan history </t>
  </si>
  <si>
    <t>Mpesa &amp; bank cash flows (from past statements)</t>
  </si>
  <si>
    <t>Cash inflows</t>
  </si>
  <si>
    <t>Cash outflows</t>
  </si>
  <si>
    <t>March</t>
  </si>
  <si>
    <t>April</t>
  </si>
  <si>
    <t>May</t>
  </si>
  <si>
    <t>June</t>
  </si>
  <si>
    <t>July</t>
  </si>
  <si>
    <t>Loan info</t>
  </si>
  <si>
    <t>Branch ID</t>
  </si>
  <si>
    <t>Submission date</t>
  </si>
  <si>
    <t>2018/2/13</t>
  </si>
  <si>
    <t>Loan terms</t>
  </si>
  <si>
    <t>Expected disbursement date</t>
  </si>
  <si>
    <t>Expected first repayment date</t>
  </si>
  <si>
    <t>2018/3/13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</si>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</sst>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0.3315581482708147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0.01898890258939581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25803.57142857143</v>
      </c>
    </row>
    <row r="17" spans="1:7">
      <c r="B17" s="1" t="s">
        <v>11</v>
      </c>
      <c r="C17" s="36">
        <f>SUM(Output!B6:M6)</f>
        <v>461700.1695721938</v>
      </c>
    </row>
    <row r="18" spans="1:7">
      <c r="B18" s="1" t="s">
        <v>12</v>
      </c>
      <c r="C18" s="36">
        <f>MIN(Output!B6:M6)</f>
        <v>-947.572912740914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124936.9936480726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100333.3333333333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-947.572912740914</v>
      </c>
      <c r="C6" s="51">
        <f>C30-C88</f>
        <v>11400.42708725909</v>
      </c>
      <c r="D6" s="51">
        <f>D30-D88</f>
        <v>11400.42708725909</v>
      </c>
      <c r="E6" s="51">
        <f>E30-E88</f>
        <v>11400.42708725909</v>
      </c>
      <c r="F6" s="51">
        <f>F30-F88</f>
        <v>21877.31546793922</v>
      </c>
      <c r="G6" s="51">
        <f>G30-G88</f>
        <v>31032.94998809963</v>
      </c>
      <c r="H6" s="51">
        <f>H30-H88</f>
        <v>22400.41319146511</v>
      </c>
      <c r="I6" s="51">
        <f>I30-I88</f>
        <v>111225.2392414258</v>
      </c>
      <c r="J6" s="51">
        <f>J30-J88</f>
        <v>124936.9936480726</v>
      </c>
      <c r="K6" s="51">
        <f>K30-K88</f>
        <v>28954.7128015448</v>
      </c>
      <c r="L6" s="51">
        <f>L30-L88</f>
        <v>39431.60118222494</v>
      </c>
      <c r="M6" s="51">
        <f>M30-M88</f>
        <v>48587.23570238535</v>
      </c>
      <c r="N6" s="51">
        <f>N30-N88</f>
        <v>-947.572912740914</v>
      </c>
      <c r="O6" s="51">
        <f>O30-O88</f>
        <v>11400.42708725909</v>
      </c>
      <c r="P6" s="51">
        <f>P30-P88</f>
        <v>11400.42708725909</v>
      </c>
      <c r="Q6" s="51">
        <f>Q30-Q88</f>
        <v>11400.42708725909</v>
      </c>
      <c r="R6" s="51">
        <f>R30-R88</f>
        <v>21877.31546793922</v>
      </c>
      <c r="S6" s="51">
        <f>S30-S88</f>
        <v>31032.94998809963</v>
      </c>
      <c r="T6" s="51">
        <f>T30-T88</f>
        <v>22400.41319146511</v>
      </c>
      <c r="U6" s="51">
        <f>U30-U88</f>
        <v>111225.2392414258</v>
      </c>
      <c r="V6" s="51">
        <f>V30-V88</f>
        <v>124936.9936480726</v>
      </c>
      <c r="W6" s="51">
        <f>W30-W88</f>
        <v>28954.7128015448</v>
      </c>
      <c r="X6" s="51">
        <f>X30-X88</f>
        <v>39431.60118222494</v>
      </c>
      <c r="Y6" s="51">
        <f>Y30-Y88</f>
        <v>48587.23570238535</v>
      </c>
      <c r="Z6" s="51">
        <f>SUMIF($B$13:$Y$13,"Yes",B6:Y6)</f>
        <v>460752.5966594529</v>
      </c>
      <c r="AA6" s="51">
        <f>AA30-AA88</f>
        <v>461700.1695721935</v>
      </c>
      <c r="AB6" s="51">
        <f>AB30-AB88</f>
        <v>923400.3391443864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5000</v>
      </c>
      <c r="C7" s="80">
        <f>IF(ISERROR(VLOOKUP(MONTH(C5),Inputs!$D$66:$D$71,1,0)),"",INDEX(Inputs!$B$66:$B$71,MATCH(MONTH(Output!C5),Inputs!$D$66:$D$71,0))-INDEX(Inputs!$C$66:$C$71,MATCH(MONTH(Output!C5),Inputs!$D$66:$D$71,0)))</f>
        <v>-25000</v>
      </c>
      <c r="D7" s="80">
        <f>IF(ISERROR(VLOOKUP(MONTH(D5),Inputs!$D$66:$D$71,1,0)),"",INDEX(Inputs!$B$66:$B$71,MATCH(MONTH(Output!D5),Inputs!$D$66:$D$71,0))-INDEX(Inputs!$C$66:$C$71,MATCH(MONTH(Output!D5),Inputs!$D$66:$D$71,0)))</f>
        <v>-10000</v>
      </c>
      <c r="E7" s="80">
        <f>IF(ISERROR(VLOOKUP(MONTH(E5),Inputs!$D$66:$D$71,1,0)),"",INDEX(Inputs!$B$66:$B$71,MATCH(MONTH(Output!E5),Inputs!$D$66:$D$71,0))-INDEX(Inputs!$C$66:$C$71,MATCH(MONTH(Output!E5),Inputs!$D$66:$D$71,0)))</f>
        <v>-15000</v>
      </c>
      <c r="F7" s="80">
        <f>IF(ISERROR(VLOOKUP(MONTH(F5),Inputs!$D$66:$D$71,1,0)),"",INDEX(Inputs!$B$66:$B$71,MATCH(MONTH(Output!F5),Inputs!$D$66:$D$71,0))-INDEX(Inputs!$C$66:$C$71,MATCH(MONTH(Output!F5),Inputs!$D$66:$D$71,0)))</f>
        <v>-15000</v>
      </c>
      <c r="G7" s="80">
        <f>IF(ISERROR(VLOOKUP(MONTH(G5),Inputs!$D$66:$D$71,1,0)),"",INDEX(Inputs!$B$66:$B$71,MATCH(MONTH(Output!G5),Inputs!$D$66:$D$71,0))-INDEX(Inputs!$C$66:$C$71,MATCH(MONTH(Output!G5),Inputs!$D$66:$D$71,0)))</f>
        <v>400000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5000</v>
      </c>
      <c r="O7" s="80">
        <f>IF(ISERROR(VLOOKUP(MONTH(O5),Inputs!$D$66:$D$71,1,0)),"",INDEX(Inputs!$B$66:$B$71,MATCH(MONTH(Output!O5),Inputs!$D$66:$D$71,0))-INDEX(Inputs!$C$66:$C$71,MATCH(MONTH(Output!O5),Inputs!$D$66:$D$71,0)))</f>
        <v>-25000</v>
      </c>
      <c r="P7" s="80">
        <f>IF(ISERROR(VLOOKUP(MONTH(P5),Inputs!$D$66:$D$71,1,0)),"",INDEX(Inputs!$B$66:$B$71,MATCH(MONTH(Output!P5),Inputs!$D$66:$D$71,0))-INDEX(Inputs!$C$66:$C$71,MATCH(MONTH(Output!P5),Inputs!$D$66:$D$71,0)))</f>
        <v>-10000</v>
      </c>
      <c r="Q7" s="80">
        <f>IF(ISERROR(VLOOKUP(MONTH(Q5),Inputs!$D$66:$D$71,1,0)),"",INDEX(Inputs!$B$66:$B$71,MATCH(MONTH(Output!Q5),Inputs!$D$66:$D$71,0))-INDEX(Inputs!$C$66:$C$71,MATCH(MONTH(Output!Q5),Inputs!$D$66:$D$71,0)))</f>
        <v>-15000</v>
      </c>
      <c r="R7" s="80">
        <f>IF(ISERROR(VLOOKUP(MONTH(R5),Inputs!$D$66:$D$71,1,0)),"",INDEX(Inputs!$B$66:$B$71,MATCH(MONTH(Output!R5),Inputs!$D$66:$D$71,0))-INDEX(Inputs!$C$66:$C$71,MATCH(MONTH(Output!R5),Inputs!$D$66:$D$71,0)))</f>
        <v>-15000</v>
      </c>
      <c r="S7" s="80">
        <f>IF(ISERROR(VLOOKUP(MONTH(S5),Inputs!$D$66:$D$71,1,0)),"",INDEX(Inputs!$B$66:$B$71,MATCH(MONTH(Output!S5),Inputs!$D$66:$D$71,0))-INDEX(Inputs!$C$66:$C$71,MATCH(MONTH(Output!S5),Inputs!$D$66:$D$71,0)))</f>
        <v>400000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4375</v>
      </c>
      <c r="D10" s="37">
        <f>SUMPRODUCT((Calculations!$D$33:$D$84=Output!D5)+0,Calculations!$C$33:$C$84)</f>
        <v>4375</v>
      </c>
      <c r="E10" s="37">
        <f>SUMPRODUCT((Calculations!$D$33:$D$84=Output!E5)+0,Calculations!$C$33:$C$84)</f>
        <v>4375</v>
      </c>
      <c r="F10" s="37">
        <f>SUMPRODUCT((Calculations!$D$33:$D$84=Output!F5)+0,Calculations!$C$33:$C$84)</f>
        <v>4375</v>
      </c>
      <c r="G10" s="37">
        <f>SUMPRODUCT((Calculations!$D$33:$D$84=Output!G5)+0,Calculations!$C$33:$C$84)</f>
        <v>4375</v>
      </c>
      <c r="H10" s="37">
        <f>SUMPRODUCT((Calculations!$D$33:$D$84=Output!H5)+0,Calculations!$C$33:$C$84)</f>
        <v>25803.57142857143</v>
      </c>
      <c r="I10" s="37">
        <f>SUMPRODUCT((Calculations!$D$33:$D$84=Output!I5)+0,Calculations!$C$33:$C$84)</f>
        <v>25803.57142857143</v>
      </c>
      <c r="J10" s="37">
        <f>SUMPRODUCT((Calculations!$D$33:$D$84=Output!J5)+0,Calculations!$C$33:$C$84)</f>
        <v>25803.57142857143</v>
      </c>
      <c r="K10" s="37">
        <f>SUMPRODUCT((Calculations!$D$33:$D$84=Output!K5)+0,Calculations!$C$33:$C$84)</f>
        <v>25803.57142857143</v>
      </c>
      <c r="L10" s="37">
        <f>SUMPRODUCT((Calculations!$D$33:$D$84=Output!L5)+0,Calculations!$C$33:$C$84)</f>
        <v>25803.57142857143</v>
      </c>
      <c r="M10" s="37">
        <f>SUMPRODUCT((Calculations!$D$33:$D$84=Output!M5)+0,Calculations!$C$33:$C$84)</f>
        <v>25803.57142857143</v>
      </c>
      <c r="N10" s="37">
        <f>SUMPRODUCT((Calculations!$D$33:$D$84=Output!N5)+0,Calculations!$C$33:$C$84)</f>
        <v>25803.57142857143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202500</v>
      </c>
      <c r="AA10" s="37">
        <f>SUM(B10:M10)</f>
        <v>176696.4285714286</v>
      </c>
      <c r="AB10" s="37">
        <f>SUM(B10:Y10)</f>
        <v>202500</v>
      </c>
    </row>
    <row r="11" spans="1:30" customHeight="1" ht="15.75">
      <c r="A11" s="43" t="s">
        <v>31</v>
      </c>
      <c r="B11" s="80">
        <f>B6+B9-B10</f>
        <v>149052.4270872591</v>
      </c>
      <c r="C11" s="80">
        <f>C6+C9-C10</f>
        <v>7025.427087259086</v>
      </c>
      <c r="D11" s="80">
        <f>D6+D9-D10</f>
        <v>7025.427087259086</v>
      </c>
      <c r="E11" s="80">
        <f>E6+E9-E10</f>
        <v>7025.427087259086</v>
      </c>
      <c r="F11" s="80">
        <f>F6+F9-F10</f>
        <v>17502.31546793922</v>
      </c>
      <c r="G11" s="80">
        <f>G6+G9-G10</f>
        <v>26657.94998809963</v>
      </c>
      <c r="H11" s="80">
        <f>H6+H9-H10</f>
        <v>-3403.15823710632</v>
      </c>
      <c r="I11" s="80">
        <f>I6+I9-I10</f>
        <v>85421.66781285437</v>
      </c>
      <c r="J11" s="80">
        <f>J6+J9-J10</f>
        <v>99133.42221950123</v>
      </c>
      <c r="K11" s="80">
        <f>K6+K9-K10</f>
        <v>3151.141372973376</v>
      </c>
      <c r="L11" s="80">
        <f>L6+L9-L10</f>
        <v>13628.02975365351</v>
      </c>
      <c r="M11" s="80">
        <f>M6+M9-M10</f>
        <v>22783.66427381392</v>
      </c>
      <c r="N11" s="80">
        <f>N6+N9-N10</f>
        <v>-26751.14434131234</v>
      </c>
      <c r="O11" s="80">
        <f>O6+O9-O10</f>
        <v>11400.42708725909</v>
      </c>
      <c r="P11" s="80">
        <f>P6+P9-P10</f>
        <v>11400.42708725909</v>
      </c>
      <c r="Q11" s="80">
        <f>Q6+Q9-Q10</f>
        <v>11400.42708725909</v>
      </c>
      <c r="R11" s="80">
        <f>R6+R9-R10</f>
        <v>21877.31546793922</v>
      </c>
      <c r="S11" s="80">
        <f>S6+S9-S10</f>
        <v>31032.94998809963</v>
      </c>
      <c r="T11" s="80">
        <f>T6+T9-T10</f>
        <v>22400.41319146511</v>
      </c>
      <c r="U11" s="80">
        <f>U6+U9-U10</f>
        <v>111225.2392414258</v>
      </c>
      <c r="V11" s="80">
        <f>V6+V9-V10</f>
        <v>124936.9936480726</v>
      </c>
      <c r="W11" s="80">
        <f>W6+W9-W10</f>
        <v>28954.7128015448</v>
      </c>
      <c r="X11" s="80">
        <f>X6+X9-X10</f>
        <v>39431.60118222494</v>
      </c>
      <c r="Y11" s="80">
        <f>Y6+Y9-Y10</f>
        <v>48587.23570238535</v>
      </c>
      <c r="Z11" s="85">
        <f>SUMIF($B$13:$Y$13,"Yes",B11:Y11)</f>
        <v>408252.5966594529</v>
      </c>
      <c r="AA11" s="80">
        <f>SUM(B11:M11)</f>
        <v>435003.7410007652</v>
      </c>
      <c r="AB11" s="46">
        <f>SUM(B11:Y11)</f>
        <v>870900.3391443875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0.02726657635670031</v>
      </c>
      <c r="D12" s="82">
        <f>IF(D13="Yes",IF(SUM($B$10:D10)/(SUM($B$6:D6)+SUM($B$9:D9))&lt;0,999.99,SUM($B$10:D10)/(SUM($B$6:D6)+SUM($B$9:D9))),"")</f>
        <v>0.05091552477646018</v>
      </c>
      <c r="E12" s="82">
        <f>IF(E13="Yes",IF(SUM($B$10:E10)/(SUM($B$6:E6)+SUM($B$9:E9))&lt;0,999.99,SUM($B$10:E10)/(SUM($B$6:E6)+SUM($B$9:E9))),"")</f>
        <v>0.07162201582846724</v>
      </c>
      <c r="F12" s="82">
        <f>IF(F13="Yes",IF(SUM($B$10:F10)/(SUM($B$6:F6)+SUM($B$9:F9))&lt;0,999.99,SUM($B$10:F10)/(SUM($B$6:F6)+SUM($B$9:F9))),"")</f>
        <v>0.0853113277278529</v>
      </c>
      <c r="G12" s="82">
        <f>IF(G13="Yes",IF(SUM($B$10:G10)/(SUM($B$6:G6)+SUM($B$9:G9))&lt;0,999.99,SUM($B$10:G10)/(SUM($B$6:G6)+SUM($B$9:G9))),"")</f>
        <v>0.09262632080393078</v>
      </c>
      <c r="H12" s="82">
        <f>IF(H13="Yes",IF(SUM($B$10:H10)/(SUM($B$6:H6)+SUM($B$9:H9))&lt;0,999.99,SUM($B$10:H10)/(SUM($B$6:H6)+SUM($B$9:H9))),"")</f>
        <v>0.184397286812779</v>
      </c>
      <c r="I12" s="82">
        <f>IF(I13="Yes",IF(SUM($B$10:I10)/(SUM($B$6:I6)+SUM($B$9:I9))&lt;0,999.99,SUM($B$10:I10)/(SUM($B$6:I6)+SUM($B$9:I9))),"")</f>
        <v>0.1987133700983159</v>
      </c>
      <c r="J12" s="82">
        <f>IF(J13="Yes",IF(SUM($B$10:J10)/(SUM($B$6:J6)+SUM($B$9:J9))&lt;0,999.99,SUM($B$10:J10)/(SUM($B$6:J6)+SUM($B$9:J9))),"")</f>
        <v>0.2006880371801804</v>
      </c>
      <c r="K12" s="82">
        <f>IF(K13="Yes",IF(SUM($B$10:K10)/(SUM($B$6:K6)+SUM($B$9:K9))&lt;0,999.99,SUM($B$10:K10)/(SUM($B$6:K6)+SUM($B$9:K9))),"")</f>
        <v>0.2388652753236693</v>
      </c>
      <c r="L12" s="82">
        <f>IF(L13="Yes",IF(SUM($B$10:L10)/(SUM($B$6:L6)+SUM($B$9:L9))&lt;0,999.99,SUM($B$10:L10)/(SUM($B$6:L6)+SUM($B$9:L9))),"")</f>
        <v>0.2679619807449557</v>
      </c>
      <c r="M12" s="82">
        <f>IF(M13="Yes",IF(SUM($B$10:M10)/(SUM($B$6:M6)+SUM($B$9:M9))&lt;0,999.99,SUM($B$10:M10)/(SUM($B$6:M6)+SUM($B$9:M9))),"")</f>
        <v>0.2888611731054532</v>
      </c>
      <c r="N12" s="82">
        <f>IF(N13="Yes",IF(SUM($B$10:N10)/(SUM($B$6:N6)+SUM($B$9:N9))&lt;0,999.99,SUM($B$10:N10)/(SUM($B$6:N6)+SUM($B$9:N9))),"")</f>
        <v>0.3315581482708147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68558.77203323417</v>
      </c>
      <c r="I18" s="36">
        <f>U18</f>
        <v>82270.526439881</v>
      </c>
      <c r="J18" s="36">
        <f>V18</f>
        <v>95982.28084652784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68558.77203323417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82270.526439881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95982.28084652784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246811.579319643</v>
      </c>
      <c r="AA18" s="36">
        <f>SUM(B18:M18)</f>
        <v>246811.579319643</v>
      </c>
      <c r="AB18" s="36">
        <f>SUM(B18:Y18)</f>
        <v>493623.158639286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10865.92990985505</v>
      </c>
      <c r="G19" s="36">
        <f>S19</f>
        <v>11952.52290084056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10865.92990985505</v>
      </c>
      <c r="M19" s="36">
        <f>Y19</f>
        <v>11952.52290084056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10865.92990985505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11952.52290084056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10865.92990985505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11952.52290084056</v>
      </c>
      <c r="Z19" s="36">
        <f>SUMIF($B$13:$Y$13,"Yes",B19:Y19)</f>
        <v>45636.90562139121</v>
      </c>
      <c r="AA19" s="36">
        <f>SUM(B19:M19)</f>
        <v>45636.90562139121</v>
      </c>
      <c r="AB19" s="36">
        <f>SUM(B19:Y19)</f>
        <v>91273.81124278244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209000.0000000001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54305.55555555555</v>
      </c>
      <c r="C24" s="36">
        <f>IFERROR(Calculations!$P14/12,"")</f>
        <v>54305.55555555555</v>
      </c>
      <c r="D24" s="36">
        <f>IFERROR(Calculations!$P14/12,"")</f>
        <v>54305.55555555555</v>
      </c>
      <c r="E24" s="36">
        <f>IFERROR(Calculations!$P14/12,"")</f>
        <v>54305.55555555555</v>
      </c>
      <c r="F24" s="36">
        <f>IFERROR(Calculations!$P14/12,"")</f>
        <v>54305.55555555555</v>
      </c>
      <c r="G24" s="36">
        <f>IFERROR(Calculations!$P14/12,"")</f>
        <v>54305.55555555555</v>
      </c>
      <c r="H24" s="36">
        <f>IFERROR(Calculations!$P14/12,"")</f>
        <v>54305.55555555555</v>
      </c>
      <c r="I24" s="36">
        <f>IFERROR(Calculations!$P14/12,"")</f>
        <v>54305.55555555555</v>
      </c>
      <c r="J24" s="36">
        <f>IFERROR(Calculations!$P14/12,"")</f>
        <v>54305.55555555555</v>
      </c>
      <c r="K24" s="36">
        <f>IFERROR(Calculations!$P14/12,"")</f>
        <v>54305.55555555555</v>
      </c>
      <c r="L24" s="36">
        <f>IFERROR(Calculations!$P14/12,"")</f>
        <v>54305.55555555555</v>
      </c>
      <c r="M24" s="36">
        <f>IFERROR(Calculations!$P14/12,"")</f>
        <v>54305.55555555555</v>
      </c>
      <c r="N24" s="36">
        <f>IFERROR(Calculations!$P14/12,"")</f>
        <v>54305.55555555555</v>
      </c>
      <c r="O24" s="36">
        <f>IFERROR(Calculations!$P14/12,"")</f>
        <v>54305.55555555555</v>
      </c>
      <c r="P24" s="36">
        <f>IFERROR(Calculations!$P14/12,"")</f>
        <v>54305.55555555555</v>
      </c>
      <c r="Q24" s="36">
        <f>IFERROR(Calculations!$P14/12,"")</f>
        <v>54305.55555555555</v>
      </c>
      <c r="R24" s="36">
        <f>IFERROR(Calculations!$P14/12,"")</f>
        <v>54305.55555555555</v>
      </c>
      <c r="S24" s="36">
        <f>IFERROR(Calculations!$P14/12,"")</f>
        <v>54305.55555555555</v>
      </c>
      <c r="T24" s="36">
        <f>IFERROR(Calculations!$P14/12,"")</f>
        <v>54305.55555555555</v>
      </c>
      <c r="U24" s="36">
        <f>IFERROR(Calculations!$P14/12,"")</f>
        <v>54305.55555555555</v>
      </c>
      <c r="V24" s="36">
        <f>IFERROR(Calculations!$P14/12,"")</f>
        <v>54305.55555555555</v>
      </c>
      <c r="W24" s="36">
        <f>IFERROR(Calculations!$P14/12,"")</f>
        <v>54305.55555555555</v>
      </c>
      <c r="X24" s="36">
        <f>IFERROR(Calculations!$P14/12,"")</f>
        <v>54305.55555555555</v>
      </c>
      <c r="Y24" s="36">
        <f>IFERROR(Calculations!$P14/12,"")</f>
        <v>54305.55555555555</v>
      </c>
      <c r="Z24" s="36">
        <f>SUMIF($B$13:$Y$13,"Yes",B24:Y24)</f>
        <v>705972.222222222</v>
      </c>
      <c r="AA24" s="36">
        <f>SUM(B24:M24)</f>
        <v>651666.6666666665</v>
      </c>
      <c r="AB24" s="46">
        <f>SUM(B24:Y24)</f>
        <v>1303333.333333333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23437.5</v>
      </c>
      <c r="C25" s="36">
        <f>IFERROR(Calculations!$P15/12,"")</f>
        <v>23437.5</v>
      </c>
      <c r="D25" s="36">
        <f>IFERROR(Calculations!$P15/12,"")</f>
        <v>23437.5</v>
      </c>
      <c r="E25" s="36">
        <f>IFERROR(Calculations!$P15/12,"")</f>
        <v>23437.5</v>
      </c>
      <c r="F25" s="36">
        <f>IFERROR(Calculations!$P15/12,"")</f>
        <v>23437.5</v>
      </c>
      <c r="G25" s="36">
        <f>IFERROR(Calculations!$P15/12,"")</f>
        <v>23437.5</v>
      </c>
      <c r="H25" s="36">
        <f>IFERROR(Calculations!$P15/12,"")</f>
        <v>23437.5</v>
      </c>
      <c r="I25" s="36">
        <f>IFERROR(Calculations!$P15/12,"")</f>
        <v>23437.5</v>
      </c>
      <c r="J25" s="36">
        <f>IFERROR(Calculations!$P15/12,"")</f>
        <v>23437.5</v>
      </c>
      <c r="K25" s="36">
        <f>IFERROR(Calculations!$P15/12,"")</f>
        <v>23437.5</v>
      </c>
      <c r="L25" s="36">
        <f>IFERROR(Calculations!$P15/12,"")</f>
        <v>23437.5</v>
      </c>
      <c r="M25" s="36">
        <f>IFERROR(Calculations!$P15/12,"")</f>
        <v>23437.5</v>
      </c>
      <c r="N25" s="36">
        <f>IFERROR(Calculations!$P15/12,"")</f>
        <v>23437.5</v>
      </c>
      <c r="O25" s="36">
        <f>IFERROR(Calculations!$P15/12,"")</f>
        <v>23437.5</v>
      </c>
      <c r="P25" s="36">
        <f>IFERROR(Calculations!$P15/12,"")</f>
        <v>23437.5</v>
      </c>
      <c r="Q25" s="36">
        <f>IFERROR(Calculations!$P15/12,"")</f>
        <v>23437.5</v>
      </c>
      <c r="R25" s="36">
        <f>IFERROR(Calculations!$P15/12,"")</f>
        <v>23437.5</v>
      </c>
      <c r="S25" s="36">
        <f>IFERROR(Calculations!$P15/12,"")</f>
        <v>23437.5</v>
      </c>
      <c r="T25" s="36">
        <f>IFERROR(Calculations!$P15/12,"")</f>
        <v>23437.5</v>
      </c>
      <c r="U25" s="36">
        <f>IFERROR(Calculations!$P15/12,"")</f>
        <v>23437.5</v>
      </c>
      <c r="V25" s="36">
        <f>IFERROR(Calculations!$P15/12,"")</f>
        <v>23437.5</v>
      </c>
      <c r="W25" s="36">
        <f>IFERROR(Calculations!$P15/12,"")</f>
        <v>23437.5</v>
      </c>
      <c r="X25" s="36">
        <f>IFERROR(Calculations!$P15/12,"")</f>
        <v>23437.5</v>
      </c>
      <c r="Y25" s="36">
        <f>IFERROR(Calculations!$P15/12,"")</f>
        <v>23437.5</v>
      </c>
      <c r="Z25" s="36">
        <f>SUMIF($B$13:$Y$13,"Yes",B25:Y25)</f>
        <v>304687.5</v>
      </c>
      <c r="AA25" s="36">
        <f>SUM(B25:M25)</f>
        <v>281250</v>
      </c>
      <c r="AB25" s="46">
        <f>SUM(B25:Y25)</f>
        <v>562500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77743.05555555556</v>
      </c>
      <c r="C30" s="19">
        <f>SUM(C18:C29)</f>
        <v>77743.05555555556</v>
      </c>
      <c r="D30" s="19">
        <f>SUM(D18:D29)</f>
        <v>77743.05555555556</v>
      </c>
      <c r="E30" s="19">
        <f>SUM(E18:E29)</f>
        <v>77743.05555555556</v>
      </c>
      <c r="F30" s="19">
        <f>SUM(F18:F29)</f>
        <v>88608.9854654106</v>
      </c>
      <c r="G30" s="19">
        <f>SUM(G18:G29)</f>
        <v>89695.57845639611</v>
      </c>
      <c r="H30" s="19">
        <f>SUM(H18:H29)</f>
        <v>146301.8275887897</v>
      </c>
      <c r="I30" s="19">
        <f>SUM(I18:I29)</f>
        <v>160013.5819954365</v>
      </c>
      <c r="J30" s="19">
        <f>SUM(J18:J29)</f>
        <v>173725.3364020834</v>
      </c>
      <c r="K30" s="19">
        <f>SUM(K18:K29)</f>
        <v>77743.05555555556</v>
      </c>
      <c r="L30" s="19">
        <f>SUM(L18:L29)</f>
        <v>88608.9854654106</v>
      </c>
      <c r="M30" s="19">
        <f>SUM(M18:M29)</f>
        <v>89695.57845639611</v>
      </c>
      <c r="N30" s="19">
        <f>SUM(N18:N29)</f>
        <v>77743.05555555556</v>
      </c>
      <c r="O30" s="19">
        <f>SUM(O18:O29)</f>
        <v>77743.05555555556</v>
      </c>
      <c r="P30" s="19">
        <f>SUM(P18:P29)</f>
        <v>77743.05555555556</v>
      </c>
      <c r="Q30" s="19">
        <f>SUM(Q18:Q29)</f>
        <v>77743.05555555556</v>
      </c>
      <c r="R30" s="19">
        <f>SUM(R18:R29)</f>
        <v>88608.9854654106</v>
      </c>
      <c r="S30" s="19">
        <f>SUM(S18:S29)</f>
        <v>89695.57845639611</v>
      </c>
      <c r="T30" s="19">
        <f>SUM(T18:T29)</f>
        <v>146301.8275887897</v>
      </c>
      <c r="U30" s="19">
        <f>SUM(U18:U29)</f>
        <v>160013.5819954365</v>
      </c>
      <c r="V30" s="19">
        <f>SUM(V18:V29)</f>
        <v>173725.3364020834</v>
      </c>
      <c r="W30" s="19">
        <f>SUM(W18:W29)</f>
        <v>77743.05555555556</v>
      </c>
      <c r="X30" s="19">
        <f>SUM(X18:X29)</f>
        <v>88608.9854654106</v>
      </c>
      <c r="Y30" s="19">
        <f>SUM(Y18:Y29)</f>
        <v>89695.57845639611</v>
      </c>
      <c r="Z30" s="19">
        <f>SUMIF($B$13:$Y$13,"Yes",B30:Y30)</f>
        <v>1303108.207163256</v>
      </c>
      <c r="AA30" s="19">
        <f>SUM(B30:M30)</f>
        <v>1225365.151607701</v>
      </c>
      <c r="AB30" s="19">
        <f>SUM(B30:Y30)</f>
        <v>2450730.303215401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12348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7500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12348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7500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32196</v>
      </c>
      <c r="AA42" s="36">
        <f>SUM(B42:M42)</f>
        <v>19848</v>
      </c>
      <c r="AB42" s="36">
        <f>SUM(B42:Y42)</f>
        <v>39696</v>
      </c>
    </row>
    <row r="43" spans="1:30" hidden="true" outlineLevel="1">
      <c r="A43" s="181" t="str">
        <f>Calculations!$A$4</f>
        <v>Maize</v>
      </c>
      <c r="B43" s="36">
        <f>N43</f>
        <v>4848.000000000001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4848.000000000001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9696.000000000002</v>
      </c>
      <c r="AA43" s="36">
        <f>SUM(B43:M43)</f>
        <v>4848.000000000001</v>
      </c>
      <c r="AB43" s="36">
        <f>SUM(B43:Y43)</f>
        <v>9696.000000000002</v>
      </c>
    </row>
    <row r="44" spans="1:30" hidden="true" outlineLevel="1">
      <c r="A44" s="181" t="str">
        <f>Calculations!$A$5</f>
        <v>Beans</v>
      </c>
      <c r="B44" s="36">
        <f>N44</f>
        <v>7500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7500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7500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7500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22500</v>
      </c>
      <c r="AA44" s="36">
        <f>SUM(B44:M44)</f>
        <v>15000</v>
      </c>
      <c r="AB44" s="36">
        <f>SUM(B44:Y44)</f>
        <v>30000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389.0415291749034</v>
      </c>
      <c r="G54" s="36">
        <f>S54</f>
        <v>0</v>
      </c>
      <c r="H54" s="36">
        <f>T54</f>
        <v>50058.78592902813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389.0415291749034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389.0415291749034</v>
      </c>
      <c r="S54" s="46">
        <f>SUM(S55:S59)</f>
        <v>0</v>
      </c>
      <c r="T54" s="46">
        <f>SUM(T55:T59)</f>
        <v>50058.78592902813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389.0415291749034</v>
      </c>
      <c r="Y54" s="46">
        <f>SUM(Y55:Y59)</f>
        <v>0</v>
      </c>
      <c r="Z54" s="46">
        <f>SUMIF($B$13:$Y$13,"Yes",B54:Y54)</f>
        <v>50836.86898737793</v>
      </c>
      <c r="AA54" s="46">
        <f>SUM(B54:M54)</f>
        <v>50836.86898737793</v>
      </c>
      <c r="AB54" s="46">
        <f>SUM(B54:Y54)</f>
        <v>101673.7379747559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50058.78592902813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50058.78592902813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50058.78592902813</v>
      </c>
      <c r="AA55" s="46">
        <f>SUM(B55:M55)</f>
        <v>50058.78592902813</v>
      </c>
      <c r="AB55" s="46">
        <f>SUM(B55:Y55)</f>
        <v>100117.5718580563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389.0415291749034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389.0415291749034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389.0415291749034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389.0415291749034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778.0830583498067</v>
      </c>
      <c r="AA56" s="46">
        <f>SUM(B56:M56)</f>
        <v>778.0830583498067</v>
      </c>
      <c r="AB56" s="46">
        <f>SUM(B56:Y56)</f>
        <v>1556.166116699613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25234.28571428571</v>
      </c>
      <c r="C66" s="36">
        <f>O66</f>
        <v>25234.28571428571</v>
      </c>
      <c r="D66" s="36">
        <f>P66</f>
        <v>25234.28571428571</v>
      </c>
      <c r="E66" s="36">
        <f>Q66</f>
        <v>25234.28571428571</v>
      </c>
      <c r="F66" s="36">
        <f>R66</f>
        <v>25234.28571428571</v>
      </c>
      <c r="G66" s="36">
        <f>S66</f>
        <v>17554.28571428571</v>
      </c>
      <c r="H66" s="36">
        <f>T66</f>
        <v>25234.28571428571</v>
      </c>
      <c r="I66" s="36">
        <f>U66</f>
        <v>7680</v>
      </c>
      <c r="J66" s="36">
        <f>V66</f>
        <v>7680</v>
      </c>
      <c r="K66" s="36">
        <f>W66</f>
        <v>7680</v>
      </c>
      <c r="L66" s="36">
        <f>X66</f>
        <v>7680</v>
      </c>
      <c r="M66" s="36">
        <f>Y66</f>
        <v>0</v>
      </c>
      <c r="N66" s="46">
        <f>SUM(N67:N71)</f>
        <v>25234.28571428571</v>
      </c>
      <c r="O66" s="46">
        <f>SUM(O67:O71)</f>
        <v>25234.28571428571</v>
      </c>
      <c r="P66" s="46">
        <f>SUM(P67:P71)</f>
        <v>25234.28571428571</v>
      </c>
      <c r="Q66" s="46">
        <f>SUM(Q67:Q71)</f>
        <v>25234.28571428571</v>
      </c>
      <c r="R66" s="46">
        <f>SUM(R67:R71)</f>
        <v>25234.28571428571</v>
      </c>
      <c r="S66" s="46">
        <f>SUM(S67:S71)</f>
        <v>17554.28571428571</v>
      </c>
      <c r="T66" s="46">
        <f>SUM(T67:T71)</f>
        <v>25234.28571428571</v>
      </c>
      <c r="U66" s="46">
        <f>SUM(U67:U71)</f>
        <v>7680</v>
      </c>
      <c r="V66" s="46">
        <f>SUM(V67:V71)</f>
        <v>7680</v>
      </c>
      <c r="W66" s="46">
        <f>SUM(W67:W71)</f>
        <v>7680</v>
      </c>
      <c r="X66" s="46">
        <f>SUM(X67:X71)</f>
        <v>7680</v>
      </c>
      <c r="Y66" s="46">
        <f>SUM(Y67:Y71)</f>
        <v>0</v>
      </c>
      <c r="Z66" s="46">
        <f>SUMIF($B$13:$Y$13,"Yes",B66:Y66)</f>
        <v>224914.2857142857</v>
      </c>
      <c r="AA66" s="46">
        <f>SUM(B66:M66)</f>
        <v>199680</v>
      </c>
      <c r="AB66" s="46">
        <f>SUM(B66:Y66)</f>
        <v>399360.0000000001</v>
      </c>
    </row>
    <row r="67" spans="1:30" hidden="true" outlineLevel="1">
      <c r="A67" s="181" t="str">
        <f>Calculations!$A$4</f>
        <v>Maize</v>
      </c>
      <c r="B67" s="36">
        <f>N67</f>
        <v>17554.28571428571</v>
      </c>
      <c r="C67" s="36">
        <f>O67</f>
        <v>17554.28571428571</v>
      </c>
      <c r="D67" s="36">
        <f>P67</f>
        <v>17554.28571428571</v>
      </c>
      <c r="E67" s="36">
        <f>Q67</f>
        <v>17554.28571428571</v>
      </c>
      <c r="F67" s="36">
        <f>R67</f>
        <v>17554.28571428571</v>
      </c>
      <c r="G67" s="36">
        <f>S67</f>
        <v>17554.28571428571</v>
      </c>
      <c r="H67" s="36">
        <f>T67</f>
        <v>17554.28571428571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17554.28571428571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17554.28571428571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17554.28571428571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17554.28571428571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17554.28571428571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17554.28571428571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17554.28571428571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140434.2857142857</v>
      </c>
      <c r="AA67" s="46">
        <f>SUM(B67:M67)</f>
        <v>122880</v>
      </c>
      <c r="AB67" s="46">
        <f>SUM(B67:Y67)</f>
        <v>245760</v>
      </c>
    </row>
    <row r="68" spans="1:30" hidden="true" outlineLevel="1">
      <c r="A68" s="181" t="str">
        <f>Calculations!$A$5</f>
        <v>Beans</v>
      </c>
      <c r="B68" s="36">
        <f>N68</f>
        <v>7680</v>
      </c>
      <c r="C68" s="36">
        <f>O68</f>
        <v>7680</v>
      </c>
      <c r="D68" s="36">
        <f>P68</f>
        <v>7680</v>
      </c>
      <c r="E68" s="36">
        <f>Q68</f>
        <v>7680</v>
      </c>
      <c r="F68" s="36">
        <f>R68</f>
        <v>7680</v>
      </c>
      <c r="G68" s="36">
        <f>S68</f>
        <v>0</v>
      </c>
      <c r="H68" s="36">
        <f>T68</f>
        <v>7680</v>
      </c>
      <c r="I68" s="36">
        <f>U68</f>
        <v>7680</v>
      </c>
      <c r="J68" s="36">
        <f>V68</f>
        <v>7680</v>
      </c>
      <c r="K68" s="36">
        <f>W68</f>
        <v>7680</v>
      </c>
      <c r="L68" s="36">
        <f>X68</f>
        <v>7680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7680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7680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7680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7680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7680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7680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7680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7680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7680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7680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84480</v>
      </c>
      <c r="AA68" s="46">
        <f>SUM(B68:M68)</f>
        <v>76800</v>
      </c>
      <c r="AB68" s="46">
        <f>SUM(B68:Y68)</f>
        <v>153600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6750</v>
      </c>
      <c r="C75" s="46">
        <f>SUM(Calculations!$R$14:$R$16)/12</f>
        <v>6750</v>
      </c>
      <c r="D75" s="46">
        <f>SUM(Calculations!$R$14:$R$16)/12</f>
        <v>6750</v>
      </c>
      <c r="E75" s="46">
        <f>SUM(Calculations!$R$14:$R$16)/12</f>
        <v>6750</v>
      </c>
      <c r="F75" s="46">
        <f>SUM(Calculations!$R$14:$R$16)/12</f>
        <v>6750</v>
      </c>
      <c r="G75" s="46">
        <f>SUM(Calculations!$R$14:$R$16)/12</f>
        <v>6750</v>
      </c>
      <c r="H75" s="46">
        <f>SUM(Calculations!$R$14:$R$16)/12</f>
        <v>6750</v>
      </c>
      <c r="I75" s="46">
        <f>SUM(Calculations!$R$14:$R$16)/12</f>
        <v>6750</v>
      </c>
      <c r="J75" s="46">
        <f>SUM(Calculations!$R$14:$R$16)/12</f>
        <v>6750</v>
      </c>
      <c r="K75" s="46">
        <f>SUM(Calculations!$R$14:$R$16)/12</f>
        <v>6750</v>
      </c>
      <c r="L75" s="46">
        <f>SUM(Calculations!$R$14:$R$16)/12</f>
        <v>6750</v>
      </c>
      <c r="M75" s="46">
        <f>SUM(Calculations!$R$14:$R$16)/12</f>
        <v>6750</v>
      </c>
      <c r="N75" s="46">
        <f>SUM(Calculations!$R$14:$R$16)/12</f>
        <v>6750</v>
      </c>
      <c r="O75" s="46">
        <f>SUM(Calculations!$R$14:$R$16)/12</f>
        <v>6750</v>
      </c>
      <c r="P75" s="46">
        <f>SUM(Calculations!$R$14:$R$16)/12</f>
        <v>6750</v>
      </c>
      <c r="Q75" s="46">
        <f>SUM(Calculations!$R$14:$R$16)/12</f>
        <v>6750</v>
      </c>
      <c r="R75" s="46">
        <f>SUM(Calculations!$R$14:$R$16)/12</f>
        <v>6750</v>
      </c>
      <c r="S75" s="46">
        <f>SUM(Calculations!$R$14:$R$16)/12</f>
        <v>6750</v>
      </c>
      <c r="T75" s="46">
        <f>SUM(Calculations!$R$14:$R$16)/12</f>
        <v>6750</v>
      </c>
      <c r="U75" s="46">
        <f>SUM(Calculations!$R$14:$R$16)/12</f>
        <v>6750</v>
      </c>
      <c r="V75" s="46">
        <f>SUM(Calculations!$R$14:$R$16)/12</f>
        <v>6750</v>
      </c>
      <c r="W75" s="46">
        <f>SUM(Calculations!$R$14:$R$16)/12</f>
        <v>6750</v>
      </c>
      <c r="X75" s="46">
        <f>SUM(Calculations!$R$14:$R$16)/12</f>
        <v>6750</v>
      </c>
      <c r="Y75" s="46">
        <f>SUM(Calculations!$R$14:$R$16)/12</f>
        <v>6750</v>
      </c>
      <c r="Z75" s="46">
        <f>SUMIF($B$13:$Y$13,"Yes",B75:Y75)</f>
        <v>87750</v>
      </c>
      <c r="AA75" s="46">
        <f>SUM(B75:M75)</f>
        <v>81000</v>
      </c>
      <c r="AB75" s="46">
        <f>SUM(B75:Y75)</f>
        <v>162000</v>
      </c>
    </row>
    <row r="76" spans="1:30">
      <c r="A76" s="16" t="s">
        <v>48</v>
      </c>
      <c r="B76" s="46">
        <f>SUM(Calculations!$S$14:$S$16)/12</f>
        <v>8708.333333333334</v>
      </c>
      <c r="C76" s="46">
        <f>SUM(Calculations!$S$14:$S$16)/12</f>
        <v>8708.333333333334</v>
      </c>
      <c r="D76" s="46">
        <f>SUM(Calculations!$S$14:$S$16)/12</f>
        <v>8708.333333333334</v>
      </c>
      <c r="E76" s="46">
        <f>SUM(Calculations!$S$14:$S$16)/12</f>
        <v>8708.333333333334</v>
      </c>
      <c r="F76" s="46">
        <f>SUM(Calculations!$S$14:$S$16)/12</f>
        <v>8708.333333333334</v>
      </c>
      <c r="G76" s="46">
        <f>SUM(Calculations!$S$14:$S$16)/12</f>
        <v>8708.333333333334</v>
      </c>
      <c r="H76" s="46">
        <f>SUM(Calculations!$S$14:$S$16)/12</f>
        <v>8708.333333333334</v>
      </c>
      <c r="I76" s="46">
        <f>SUM(Calculations!$S$14:$S$16)/12</f>
        <v>8708.333333333334</v>
      </c>
      <c r="J76" s="46">
        <f>SUM(Calculations!$S$14:$S$16)/12</f>
        <v>8708.333333333334</v>
      </c>
      <c r="K76" s="46">
        <f>SUM(Calculations!$S$14:$S$16)/12</f>
        <v>8708.333333333334</v>
      </c>
      <c r="L76" s="46">
        <f>SUM(Calculations!$S$14:$S$16)/12</f>
        <v>8708.333333333334</v>
      </c>
      <c r="M76" s="46">
        <f>SUM(Calculations!$S$14:$S$16)/12</f>
        <v>8708.333333333334</v>
      </c>
      <c r="N76" s="46">
        <f>SUM(Calculations!$S$14:$S$16)/12</f>
        <v>8708.333333333334</v>
      </c>
      <c r="O76" s="46">
        <f>SUM(Calculations!$S$14:$S$16)/12</f>
        <v>8708.333333333334</v>
      </c>
      <c r="P76" s="46">
        <f>SUM(Calculations!$S$14:$S$16)/12</f>
        <v>8708.333333333334</v>
      </c>
      <c r="Q76" s="46">
        <f>SUM(Calculations!$S$14:$S$16)/12</f>
        <v>8708.333333333334</v>
      </c>
      <c r="R76" s="46">
        <f>SUM(Calculations!$S$14:$S$16)/12</f>
        <v>8708.333333333334</v>
      </c>
      <c r="S76" s="46">
        <f>SUM(Calculations!$S$14:$S$16)/12</f>
        <v>8708.333333333334</v>
      </c>
      <c r="T76" s="46">
        <f>SUM(Calculations!$S$14:$S$16)/12</f>
        <v>8708.333333333334</v>
      </c>
      <c r="U76" s="46">
        <f>SUM(Calculations!$S$14:$S$16)/12</f>
        <v>8708.333333333334</v>
      </c>
      <c r="V76" s="46">
        <f>SUM(Calculations!$S$14:$S$16)/12</f>
        <v>8708.333333333334</v>
      </c>
      <c r="W76" s="46">
        <f>SUM(Calculations!$S$14:$S$16)/12</f>
        <v>8708.333333333334</v>
      </c>
      <c r="X76" s="46">
        <f>SUM(Calculations!$S$14:$S$16)/12</f>
        <v>8708.333333333334</v>
      </c>
      <c r="Y76" s="46">
        <f>SUM(Calculations!$S$14:$S$16)/12</f>
        <v>8708.333333333334</v>
      </c>
      <c r="Z76" s="46">
        <f>SUMIF($B$13:$Y$13,"Yes",B76:Y76)</f>
        <v>113208.3333333333</v>
      </c>
      <c r="AA76" s="46">
        <f>SUM(B76:M76)</f>
        <v>104500</v>
      </c>
      <c r="AB76" s="46">
        <f>SUM(B76:Y76)</f>
        <v>209000.0000000001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25650.00942067742</v>
      </c>
      <c r="C81" s="46">
        <f>(SUM($AA$18:$AA$29)-SUM($AA$36,$AA$42,$AA$48,$AA$54,$AA$60,$AA$66,$AA$72:$AA$79))*Parameters!$B$37/12</f>
        <v>25650.00942067742</v>
      </c>
      <c r="D81" s="46">
        <f>(SUM($AA$18:$AA$29)-SUM($AA$36,$AA$42,$AA$48,$AA$54,$AA$60,$AA$66,$AA$72:$AA$79))*Parameters!$B$37/12</f>
        <v>25650.00942067742</v>
      </c>
      <c r="E81" s="46">
        <f>(SUM($AA$18:$AA$29)-SUM($AA$36,$AA$42,$AA$48,$AA$54,$AA$60,$AA$66,$AA$72:$AA$79))*Parameters!$B$37/12</f>
        <v>25650.00942067742</v>
      </c>
      <c r="F81" s="46">
        <f>(SUM($AA$18:$AA$29)-SUM($AA$36,$AA$42,$AA$48,$AA$54,$AA$60,$AA$66,$AA$72:$AA$79))*Parameters!$B$37/12</f>
        <v>25650.00942067742</v>
      </c>
      <c r="G81" s="46">
        <f>(SUM($AA$18:$AA$29)-SUM($AA$36,$AA$42,$AA$48,$AA$54,$AA$60,$AA$66,$AA$72:$AA$79))*Parameters!$B$37/12</f>
        <v>25650.00942067742</v>
      </c>
      <c r="H81" s="46">
        <f>(SUM($AA$18:$AA$29)-SUM($AA$36,$AA$42,$AA$48,$AA$54,$AA$60,$AA$66,$AA$72:$AA$79))*Parameters!$B$37/12</f>
        <v>25650.00942067742</v>
      </c>
      <c r="I81" s="46">
        <f>(SUM($AA$18:$AA$29)-SUM($AA$36,$AA$42,$AA$48,$AA$54,$AA$60,$AA$66,$AA$72:$AA$79))*Parameters!$B$37/12</f>
        <v>25650.00942067742</v>
      </c>
      <c r="J81" s="46">
        <f>(SUM($AA$18:$AA$29)-SUM($AA$36,$AA$42,$AA$48,$AA$54,$AA$60,$AA$66,$AA$72:$AA$79))*Parameters!$B$37/12</f>
        <v>25650.00942067742</v>
      </c>
      <c r="K81" s="46">
        <f>(SUM($AA$18:$AA$29)-SUM($AA$36,$AA$42,$AA$48,$AA$54,$AA$60,$AA$66,$AA$72:$AA$79))*Parameters!$B$37/12</f>
        <v>25650.00942067742</v>
      </c>
      <c r="L81" s="46">
        <f>(SUM($AA$18:$AA$29)-SUM($AA$36,$AA$42,$AA$48,$AA$54,$AA$60,$AA$66,$AA$72:$AA$79))*Parameters!$B$37/12</f>
        <v>25650.00942067742</v>
      </c>
      <c r="M81" s="46">
        <f>(SUM($AA$18:$AA$29)-SUM($AA$36,$AA$42,$AA$48,$AA$54,$AA$60,$AA$66,$AA$72:$AA$79))*Parameters!$B$37/12</f>
        <v>25650.00942067742</v>
      </c>
      <c r="N81" s="46">
        <f>(SUM($AA$18:$AA$29)-SUM($AA$36,$AA$42,$AA$48,$AA$54,$AA$60,$AA$66,$AA$72:$AA$79))*Parameters!$B$37/12</f>
        <v>25650.00942067742</v>
      </c>
      <c r="O81" s="46">
        <f>(SUM($AA$18:$AA$29)-SUM($AA$36,$AA$42,$AA$48,$AA$54,$AA$60,$AA$66,$AA$72:$AA$79))*Parameters!$B$37/12</f>
        <v>25650.00942067742</v>
      </c>
      <c r="P81" s="46">
        <f>(SUM($AA$18:$AA$29)-SUM($AA$36,$AA$42,$AA$48,$AA$54,$AA$60,$AA$66,$AA$72:$AA$79))*Parameters!$B$37/12</f>
        <v>25650.00942067742</v>
      </c>
      <c r="Q81" s="46">
        <f>(SUM($AA$18:$AA$29)-SUM($AA$36,$AA$42,$AA$48,$AA$54,$AA$60,$AA$66,$AA$72:$AA$79))*Parameters!$B$37/12</f>
        <v>25650.00942067742</v>
      </c>
      <c r="R81" s="46">
        <f>(SUM($AA$18:$AA$29)-SUM($AA$36,$AA$42,$AA$48,$AA$54,$AA$60,$AA$66,$AA$72:$AA$79))*Parameters!$B$37/12</f>
        <v>25650.00942067742</v>
      </c>
      <c r="S81" s="46">
        <f>(SUM($AA$18:$AA$29)-SUM($AA$36,$AA$42,$AA$48,$AA$54,$AA$60,$AA$66,$AA$72:$AA$79))*Parameters!$B$37/12</f>
        <v>25650.00942067742</v>
      </c>
      <c r="T81" s="46">
        <f>(SUM($AA$18:$AA$29)-SUM($AA$36,$AA$42,$AA$48,$AA$54,$AA$60,$AA$66,$AA$72:$AA$79))*Parameters!$B$37/12</f>
        <v>25650.00942067742</v>
      </c>
      <c r="U81" s="46">
        <f>(SUM($AA$18:$AA$29)-SUM($AA$36,$AA$42,$AA$48,$AA$54,$AA$60,$AA$66,$AA$72:$AA$79))*Parameters!$B$37/12</f>
        <v>25650.00942067742</v>
      </c>
      <c r="V81" s="46">
        <f>(SUM($AA$18:$AA$29)-SUM($AA$36,$AA$42,$AA$48,$AA$54,$AA$60,$AA$66,$AA$72:$AA$79))*Parameters!$B$37/12</f>
        <v>25650.00942067742</v>
      </c>
      <c r="W81" s="46">
        <f>(SUM($AA$18:$AA$29)-SUM($AA$36,$AA$42,$AA$48,$AA$54,$AA$60,$AA$66,$AA$72:$AA$79))*Parameters!$B$37/12</f>
        <v>25650.00942067742</v>
      </c>
      <c r="X81" s="46">
        <f>(SUM($AA$18:$AA$29)-SUM($AA$36,$AA$42,$AA$48,$AA$54,$AA$60,$AA$66,$AA$72:$AA$79))*Parameters!$B$37/12</f>
        <v>25650.00942067742</v>
      </c>
      <c r="Y81" s="46">
        <f>(SUM($AA$18:$AA$29)-SUM($AA$36,$AA$42,$AA$48,$AA$54,$AA$60,$AA$66,$AA$72:$AA$79))*Parameters!$B$37/12</f>
        <v>25650.00942067742</v>
      </c>
      <c r="Z81" s="46">
        <f>SUMIF($B$13:$Y$13,"Yes",B81:Y81)</f>
        <v>333450.1224688066</v>
      </c>
      <c r="AA81" s="46">
        <f>SUM(B81:M81)</f>
        <v>307800.1130481291</v>
      </c>
      <c r="AB81" s="46">
        <f>SUM(B81:Y81)</f>
        <v>615600.2260962584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78690.62846829648</v>
      </c>
      <c r="C88" s="19">
        <f>SUM(C72:C82,C66,C60,C54,C48,C42,C36)</f>
        <v>66342.62846829648</v>
      </c>
      <c r="D88" s="19">
        <f>SUM(D72:D82,D66,D60,D54,D48,D42,D36)</f>
        <v>66342.62846829648</v>
      </c>
      <c r="E88" s="19">
        <f>SUM(E72:E82,E66,E60,E54,E48,E42,E36)</f>
        <v>66342.62846829648</v>
      </c>
      <c r="F88" s="19">
        <f>SUM(F72:F82,F66,F60,F54,F48,F42,F36)</f>
        <v>66731.66999747138</v>
      </c>
      <c r="G88" s="19">
        <f>SUM(G72:G82,G66,G60,G54,G48,G42,G36)</f>
        <v>58662.62846829648</v>
      </c>
      <c r="H88" s="19">
        <f>SUM(H72:H82,H66,H60,H54,H48,H42,H36)</f>
        <v>123901.4143973246</v>
      </c>
      <c r="I88" s="19">
        <f>SUM(I72:I82,I66,I60,I54,I48,I42,I36)</f>
        <v>48788.34275401076</v>
      </c>
      <c r="J88" s="19">
        <f>SUM(J72:J82,J66,J60,J54,J48,J42,J36)</f>
        <v>48788.34275401076</v>
      </c>
      <c r="K88" s="19">
        <f>SUM(K72:K82,K66,K60,K54,K48,K42,K36)</f>
        <v>48788.34275401076</v>
      </c>
      <c r="L88" s="19">
        <f>SUM(L72:L82,L66,L60,L54,L48,L42,L36)</f>
        <v>49177.38428318566</v>
      </c>
      <c r="M88" s="19">
        <f>SUM(M72:M82,M66,M60,M54,M48,M42,M36)</f>
        <v>41108.34275401076</v>
      </c>
      <c r="N88" s="19">
        <f>SUM(N72:N82,N66,N60,N54,N48,N42,N36)</f>
        <v>78690.62846829648</v>
      </c>
      <c r="O88" s="19">
        <f>SUM(O72:O82,O66,O60,O54,O48,O42,O36)</f>
        <v>66342.62846829648</v>
      </c>
      <c r="P88" s="19">
        <f>SUM(P72:P82,P66,P60,P54,P48,P42,P36)</f>
        <v>66342.62846829648</v>
      </c>
      <c r="Q88" s="19">
        <f>SUM(Q72:Q82,Q66,Q60,Q54,Q48,Q42,Q36)</f>
        <v>66342.62846829648</v>
      </c>
      <c r="R88" s="19">
        <f>SUM(R72:R82,R66,R60,R54,R48,R42,R36)</f>
        <v>66731.66999747138</v>
      </c>
      <c r="S88" s="19">
        <f>SUM(S72:S82,S66,S60,S54,S48,S42,S36)</f>
        <v>58662.62846829648</v>
      </c>
      <c r="T88" s="19">
        <f>SUM(T72:T82,T66,T60,T54,T48,T42,T36)</f>
        <v>123901.4143973246</v>
      </c>
      <c r="U88" s="19">
        <f>SUM(U72:U82,U66,U60,U54,U48,U42,U36)</f>
        <v>48788.34275401076</v>
      </c>
      <c r="V88" s="19">
        <f>SUM(V72:V82,V66,V60,V54,V48,V42,V36)</f>
        <v>48788.34275401076</v>
      </c>
      <c r="W88" s="19">
        <f>SUM(W72:W82,W66,W60,W54,W48,W42,W36)</f>
        <v>48788.34275401076</v>
      </c>
      <c r="X88" s="19">
        <f>SUM(X72:X82,X66,X60,X54,X48,X42,X36)</f>
        <v>49177.38428318566</v>
      </c>
      <c r="Y88" s="19">
        <f>SUM(Y72:Y82,Y66,Y60,Y54,Y48,Y42,Y36)</f>
        <v>41108.34275401076</v>
      </c>
      <c r="Z88" s="19">
        <f>SUMIF($B$13:$Y$13,"Yes",B88:Y88)</f>
        <v>842355.6105038038</v>
      </c>
      <c r="AA88" s="19">
        <f>SUM(B88:M88)</f>
        <v>763664.9820355073</v>
      </c>
      <c r="AB88" s="19">
        <f>SUM(B88:Y88)</f>
        <v>1527329.964071015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2800000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3025000</v>
      </c>
    </row>
    <row r="98" spans="1:30">
      <c r="A98" t="s">
        <v>64</v>
      </c>
      <c r="B98" s="36">
        <f>IF(Inputs!B44="Yes",Inputs!B45,0)</f>
        <v>120000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1700000</v>
      </c>
    </row>
    <row r="101" spans="1:30" customHeight="1" ht="15.75">
      <c r="A101" s="1" t="s">
        <v>67</v>
      </c>
      <c r="B101" s="19">
        <f>SUM(B94:B100)</f>
        <v>8110000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4000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154000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8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10</v>
      </c>
      <c r="N7" s="153">
        <v>2</v>
      </c>
      <c r="P7" s="41"/>
    </row>
    <row r="8" spans="1:48">
      <c r="A8" s="143" t="s">
        <v>94</v>
      </c>
      <c r="B8" s="16"/>
      <c r="C8" s="143">
        <v>3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92</v>
      </c>
      <c r="J8" s="148" t="s">
        <v>93</v>
      </c>
      <c r="K8" s="138"/>
      <c r="L8" s="16"/>
      <c r="M8" s="165">
        <v>5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85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150</v>
      </c>
      <c r="D20" s="147"/>
      <c r="E20" s="16"/>
      <c r="F20" s="147" t="s">
        <v>92</v>
      </c>
      <c r="G20" s="16"/>
      <c r="H20" s="16"/>
      <c r="I20" s="147" t="s">
        <v>109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20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124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124</v>
      </c>
    </row>
    <row r="45" spans="1:48">
      <c r="A45" s="56" t="s">
        <v>130</v>
      </c>
      <c r="B45" s="161">
        <v>120000</v>
      </c>
    </row>
    <row r="46" spans="1:48" customHeight="1" ht="30">
      <c r="A46" s="57" t="s">
        <v>131</v>
      </c>
      <c r="B46" s="161">
        <v>250000</v>
      </c>
    </row>
    <row r="47" spans="1:48" customHeight="1" ht="30">
      <c r="A47" s="57" t="s">
        <v>132</v>
      </c>
      <c r="B47" s="161">
        <v>200000</v>
      </c>
    </row>
    <row r="48" spans="1:48" customHeight="1" ht="30">
      <c r="A48" s="57" t="s">
        <v>133</v>
      </c>
      <c r="B48" s="161">
        <v>1700000</v>
      </c>
    </row>
    <row r="49" spans="1:48" customHeight="1" ht="30">
      <c r="A49" s="57" t="s">
        <v>134</v>
      </c>
      <c r="B49" s="161">
        <v>15000</v>
      </c>
    </row>
    <row r="50" spans="1:48">
      <c r="A50" s="43"/>
      <c r="B50" s="36"/>
    </row>
    <row r="51" spans="1:48">
      <c r="A51" s="58" t="s">
        <v>135</v>
      </c>
      <c r="B51" s="161">
        <v>4000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150000</v>
      </c>
      <c r="B56" s="159">
        <v>0</v>
      </c>
      <c r="C56" s="162" t="s">
        <v>143</v>
      </c>
      <c r="D56" s="163" t="s">
        <v>144</v>
      </c>
      <c r="E56" s="163" t="s">
        <v>124</v>
      </c>
      <c r="F56" s="163" t="s">
        <v>145</v>
      </c>
    </row>
    <row r="57" spans="1:48">
      <c r="A57" s="157">
        <v>150000</v>
      </c>
      <c r="B57" s="157">
        <v>0</v>
      </c>
      <c r="C57" s="164" t="s">
        <v>146</v>
      </c>
      <c r="D57" s="165" t="s">
        <v>144</v>
      </c>
      <c r="E57" s="165" t="s">
        <v>124</v>
      </c>
      <c r="F57" s="165" t="s">
        <v>145</v>
      </c>
    </row>
    <row r="58" spans="1:48">
      <c r="A58" s="157">
        <v>1000</v>
      </c>
      <c r="B58" s="157">
        <v>0</v>
      </c>
      <c r="C58" s="164" t="s">
        <v>147</v>
      </c>
      <c r="D58" s="165" t="s">
        <v>148</v>
      </c>
      <c r="E58" s="165" t="s">
        <v>92</v>
      </c>
      <c r="F58" s="165" t="s">
        <v>149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151</v>
      </c>
      <c r="C65" s="10" t="s">
        <v>152</v>
      </c>
    </row>
    <row r="66" spans="1:48">
      <c r="A66" s="142" t="s">
        <v>93</v>
      </c>
      <c r="B66" s="159">
        <v>150000</v>
      </c>
      <c r="C66" s="163">
        <v>145000</v>
      </c>
      <c r="D66" s="49">
        <f>INDEX(Parameters!$D$79:$D$90,MATCH(Inputs!A66,Parameters!$C$79:$C$90,0))</f>
        <v>2</v>
      </c>
    </row>
    <row r="67" spans="1:48">
      <c r="A67" s="143" t="s">
        <v>153</v>
      </c>
      <c r="B67" s="157">
        <v>40000</v>
      </c>
      <c r="C67" s="165">
        <v>65000</v>
      </c>
      <c r="D67" s="49">
        <f>INDEX(Parameters!$D$79:$D$90,MATCH(Inputs!A67,Parameters!$C$79:$C$90,0))</f>
        <v>3</v>
      </c>
    </row>
    <row r="68" spans="1:48">
      <c r="A68" s="143" t="s">
        <v>154</v>
      </c>
      <c r="B68" s="157">
        <v>20000</v>
      </c>
      <c r="C68" s="165">
        <v>30000</v>
      </c>
      <c r="D68" s="49">
        <f>INDEX(Parameters!$D$79:$D$90,MATCH(Inputs!A68,Parameters!$C$79:$C$90,0))</f>
        <v>4</v>
      </c>
    </row>
    <row r="69" spans="1:48">
      <c r="A69" s="143" t="s">
        <v>155</v>
      </c>
      <c r="B69" s="157">
        <v>40000</v>
      </c>
      <c r="C69" s="165">
        <v>55000</v>
      </c>
      <c r="D69" s="49">
        <f>INDEX(Parameters!$D$79:$D$90,MATCH(Inputs!A69,Parameters!$C$79:$C$90,0))</f>
        <v>5</v>
      </c>
    </row>
    <row r="70" spans="1:48">
      <c r="A70" s="143" t="s">
        <v>156</v>
      </c>
      <c r="B70" s="157">
        <v>45000</v>
      </c>
      <c r="C70" s="165">
        <v>60000</v>
      </c>
      <c r="D70" s="49">
        <f>INDEX(Parameters!$D$79:$D$90,MATCH(Inputs!A70,Parameters!$C$79:$C$90,0))</f>
        <v>6</v>
      </c>
    </row>
    <row r="71" spans="1:48">
      <c r="A71" s="144" t="s">
        <v>157</v>
      </c>
      <c r="B71" s="158">
        <v>500000</v>
      </c>
      <c r="C71" s="167">
        <v>100000</v>
      </c>
      <c r="D71" s="49">
        <f>INDEX(Parameters!$D$79:$D$90,MATCH(Inputs!A71,Parameters!$C$79:$C$90,0))</f>
        <v>7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15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150000</v>
      </c>
    </row>
    <row r="82" spans="1:48">
      <c r="A82" t="s">
        <v>167</v>
      </c>
      <c r="B82" s="161">
        <v>35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>
        <v>5</v>
      </c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43221</v>
      </c>
      <c r="D4" s="38">
        <f>IFERROR(DATE(YEAR(B4),MONTH(B4)+T4,DAY(B4)),"")</f>
        <v>43313</v>
      </c>
      <c r="E4" s="38">
        <f>IFERROR(IF($S4=0,"",IF($S4=2,DATE(YEAR(B4),MONTH(B4)+6,DAY(B4)),IF($S4=1,B4,""))),"")</f>
        <v>43132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43313</v>
      </c>
      <c r="H4" s="20">
        <f>Inputs!C7</f>
        <v>8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1360.293095897503</v>
      </c>
      <c r="M4" s="25">
        <f>L4*H4</f>
        <v>10882.34476718003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205676.3160997025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2424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25029.39296451406</v>
      </c>
      <c r="AB4" s="33">
        <f>H4*IFERROR(INDEX(Parameters!$A$3:$AI$17,MATCH(Calculations!A4,Parameters!$A$3:$A$17,0),MATCH(Parameters!$O$3,Parameters!$A$3:$AI$3,0)),AVERAGE(Parameters!$O$4:$O$17))*(1-Inputs!$B$25/100)</f>
        <v>76800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43132</v>
      </c>
      <c r="C5" s="39">
        <f>IFERROR(DATE(YEAR(B5),MONTH(B5)+ROUND(T5/2,0),DAY(B5)),B5)</f>
        <v>43191</v>
      </c>
      <c r="D5" s="39">
        <f>IFERROR(DATE(YEAR(B5),MONTH(B5)+T5,DAY(B5)),"")</f>
        <v>43252</v>
      </c>
      <c r="E5" s="39">
        <f>IFERROR(IF($S5=0,"",IF($S5=2,DATE(YEAR(B5),MONTH(B5)+6,DAY(B5)),IF($S5=1,B5,""))),"")</f>
        <v>43313</v>
      </c>
      <c r="F5" s="39">
        <f>IFERROR(IF($S5=0,"",IF($S5=2,DATE(YEAR(C5),MONTH(C5)+6,DAY(C5)),IF($S5=1,C5,""))),"")</f>
        <v>43374</v>
      </c>
      <c r="G5" s="39">
        <f>IFERROR(IF($S5=0,"",IF($S5=2,DATE(YEAR(D5),MONTH(D5)+6,DAY(D5)),IF($S5=1,D5,""))),"")</f>
        <v>43435</v>
      </c>
      <c r="H5" s="16">
        <f>Inputs!C8</f>
        <v>3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311.2332233399227</v>
      </c>
      <c r="M5" s="30">
        <f>L5*H5</f>
        <v>933.6996700197681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43463.7196394202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7500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389.0415291749034</v>
      </c>
      <c r="AB5" s="34">
        <f>H5*IFERROR(INDEX(Parameters!$A$3:$AI$17,MATCH(Calculations!A5,Parameters!$A$3:$A$17,0),MATCH(Parameters!$O$3,Parameters!$A$3:$AI$3,0)),AVERAGE(Parameters!$O$4:$O$17))*(1-Inputs!$B$25/100)</f>
        <v>48000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85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651666.6666666666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51000</v>
      </c>
      <c r="S14" s="63">
        <f>IFERROR(D14*INDEX(Parameters!$A$22:$P$29,MATCH(Calculations!$A14,Parameters!$A$22:$A$29,0),MATCH(Parameters!$N$22,Parameters!$A$22:$P$22,0)),"")</f>
        <v>59500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150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281250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30000</v>
      </c>
      <c r="S15" s="64">
        <f>IFERROR(D15*INDEX(Parameters!$A$22:$P$29,MATCH(Calculations!$A15,Parameters!$A$22:$A$29,0),MATCH(Parameters!$N$22,Parameters!$A$22:$P$22,0)),"")</f>
        <v>45000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150000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150000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43172</v>
      </c>
      <c r="C33" s="27">
        <f>IF(B33&lt;&gt;"",IF(COUNT($A$33:A33)&lt;=$G$39,0,$G$41)+IF(COUNT($A$33:A33)&lt;=$G$40,0,$G$42),0)</f>
        <v>4375</v>
      </c>
      <c r="D33" s="170">
        <f>IFERROR(DATE(YEAR(B33),MONTH(B33),1)," ")</f>
        <v>43160</v>
      </c>
      <c r="F33" t="s">
        <v>163</v>
      </c>
      <c r="G33" s="128">
        <f>IF(Inputs!B79="","",DATE(YEAR(Inputs!B79),MONTH(Inputs!B79),DAY(Inputs!B79)))</f>
        <v>43144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43203</v>
      </c>
      <c r="C34" s="27">
        <f>IF(B34&lt;&gt;"",IF(COUNT($A$33:A34)&lt;=$G$39,0,$G$41)+IF(COUNT($A$33:A34)&lt;=$G$40,0,$G$42),0)</f>
        <v>4375</v>
      </c>
      <c r="D34" s="170">
        <f>IFERROR(DATE(YEAR(B34),MONTH(B34),1)," ")</f>
        <v>43191</v>
      </c>
      <c r="F34" t="s">
        <v>164</v>
      </c>
      <c r="G34" s="128">
        <f>IF(Inputs!B80="","",DATE(YEAR(Inputs!B80),MONTH(Inputs!B80),DAY(Inputs!B80)))</f>
        <v>43172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43233</v>
      </c>
      <c r="C35" s="27">
        <f>IF(B35&lt;&gt;"",IF(COUNT($A$33:A35)&lt;=$G$39,0,$G$41)+IF(COUNT($A$33:A35)&lt;=$G$40,0,$G$42),0)</f>
        <v>4375</v>
      </c>
      <c r="D35" s="170">
        <f>IFERROR(DATE(YEAR(B35),MONTH(B35),1)," ")</f>
        <v>43221</v>
      </c>
      <c r="F35" t="s">
        <v>166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43264</v>
      </c>
      <c r="C36" s="27">
        <f>IF(B36&lt;&gt;"",IF(COUNT($A$33:A36)&lt;=$G$39,0,$G$41)+IF(COUNT($A$33:A36)&lt;=$G$40,0,$G$42),0)</f>
        <v>4375</v>
      </c>
      <c r="D36" s="170">
        <f>IFERROR(DATE(YEAR(B36),MONTH(B36),1)," ")</f>
        <v>43252</v>
      </c>
      <c r="F36" t="s">
        <v>167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43294</v>
      </c>
      <c r="C37" s="27">
        <f>IF(B37&lt;&gt;"",IF(COUNT($A$33:A37)&lt;=$G$39,0,$G$41)+IF(COUNT($A$33:A37)&lt;=$G$40,0,$G$42),0)</f>
        <v>4375</v>
      </c>
      <c r="D37" s="170">
        <f>IFERROR(DATE(YEAR(B37),MONTH(B37),1)," ")</f>
        <v>43282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43325</v>
      </c>
      <c r="C38" s="27">
        <f>IF(B38&lt;&gt;"",IF(COUNT($A$33:A38)&lt;=$G$39,0,$G$41)+IF(COUNT($A$33:A38)&lt;=$G$40,0,$G$42),0)</f>
        <v>25803.57142857143</v>
      </c>
      <c r="D38" s="170">
        <f>IFERROR(DATE(YEAR(B38),MONTH(B38),1)," ")</f>
        <v>43313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43356</v>
      </c>
      <c r="C39" s="27">
        <f>IF(B39&lt;&gt;"",IF(COUNT($A$33:A39)&lt;=$G$39,0,$G$41)+IF(COUNT($A$33:A39)&lt;=$G$40,0,$G$42),0)</f>
        <v>25803.57142857143</v>
      </c>
      <c r="D39" s="170">
        <f>IFERROR(DATE(YEAR(B39),MONTH(B39),1)," ")</f>
        <v>43344</v>
      </c>
      <c r="F39" t="s">
        <v>172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43386</v>
      </c>
      <c r="C40" s="27">
        <f>IF(B40&lt;&gt;"",IF(COUNT($A$33:A40)&lt;=$G$39,0,$G$41)+IF(COUNT($A$33:A40)&lt;=$G$40,0,$G$42),0)</f>
        <v>25803.57142857143</v>
      </c>
      <c r="D40" s="170">
        <f>IFERROR(DATE(YEAR(B40),MONTH(B40),1)," ")</f>
        <v>43374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43417</v>
      </c>
      <c r="C41" s="27">
        <f>IF(B41&lt;&gt;"",IF(COUNT($A$33:A41)&lt;=$G$39,0,$G$41)+IF(COUNT($A$33:A41)&lt;=$G$40,0,$G$42),0)</f>
        <v>25803.57142857143</v>
      </c>
      <c r="D41" s="170">
        <f>IFERROR(DATE(YEAR(B41),MONTH(B41),1)," ")</f>
        <v>43405</v>
      </c>
      <c r="F41" t="s">
        <v>230</v>
      </c>
      <c r="G41" s="73">
        <f>IFERROR(G35/(G38-G39),"")</f>
        <v>21428.57142857143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43447</v>
      </c>
      <c r="C42" s="27">
        <f>IF(B42&lt;&gt;"",IF(COUNT($A$33:A42)&lt;=$G$39,0,$G$41)+IF(COUNT($A$33:A42)&lt;=$G$40,0,$G$42),0)</f>
        <v>25803.57142857143</v>
      </c>
      <c r="D42" s="170">
        <f>IFERROR(DATE(YEAR(B42),MONTH(B42),1)," ")</f>
        <v>43435</v>
      </c>
      <c r="F42" t="s">
        <v>231</v>
      </c>
      <c r="G42" s="73">
        <f>IFERROR(G35*G36*IF(G37="Monthly",G38/12,IF(G37="Fortnightly",G38/(365/14),G38/(365/28)))/(G38-G40),"")</f>
        <v>4375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43478</v>
      </c>
      <c r="C43" s="27">
        <f>IF(B43&lt;&gt;"",IF(COUNT($A$33:A43)&lt;=$G$39,0,$G$41)+IF(COUNT($A$33:A43)&lt;=$G$40,0,$G$42),0)</f>
        <v>25803.57142857143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43509</v>
      </c>
      <c r="C44" s="27">
        <f>IF(B44&lt;&gt;"",IF(COUNT($A$33:A44)&lt;=$G$39,0,$G$41)+IF(COUNT($A$33:A44)&lt;=$G$40,0,$G$42),0)</f>
        <v>25803.57142857143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204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299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299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110</v>
      </c>
      <c r="B28" s="71" t="s">
        <v>299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299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96</v>
      </c>
      <c r="B41" s="191" t="s">
        <v>92</v>
      </c>
      <c r="C41" s="191" t="s">
        <v>124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300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110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315</v>
      </c>
      <c r="H52" s="12" t="s">
        <v>128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232</v>
      </c>
      <c r="E53" s="10" t="s">
        <v>191</v>
      </c>
      <c r="F53" s="10" t="s">
        <v>251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124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124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124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124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124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124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124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124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124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124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124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169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228</v>
      </c>
      <c r="J76" s="11" t="s">
        <v>349</v>
      </c>
      <c r="K76" s="11" t="s">
        <v>181</v>
      </c>
      <c r="AJ76" s="12"/>
    </row>
    <row r="77" spans="1:36">
      <c r="A77" t="s">
        <v>124</v>
      </c>
      <c r="B77" s="176">
        <v>0</v>
      </c>
      <c r="C77" s="12" t="s">
        <v>350</v>
      </c>
      <c r="E77" s="12" t="s">
        <v>92</v>
      </c>
      <c r="F77" s="12" t="s">
        <v>92</v>
      </c>
      <c r="G77" s="12" t="s">
        <v>109</v>
      </c>
      <c r="H77" s="12" t="s">
        <v>128</v>
      </c>
      <c r="I77" s="12" t="s">
        <v>351</v>
      </c>
      <c r="J77" s="136" t="s">
        <v>352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356</v>
      </c>
      <c r="H78" s="12" t="s">
        <v>316</v>
      </c>
      <c r="I78" s="12" t="s">
        <v>357</v>
      </c>
      <c r="J78" s="70" t="s">
        <v>358</v>
      </c>
      <c r="K78" s="12" t="s">
        <v>92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169</v>
      </c>
      <c r="J79" s="70" t="s">
        <v>363</v>
      </c>
      <c r="K79" s="12" t="s">
        <v>92</v>
      </c>
      <c r="AJ79" s="12"/>
    </row>
    <row r="80" spans="1:36">
      <c r="B80" s="176">
        <v>20</v>
      </c>
      <c r="C80" s="12" t="s">
        <v>93</v>
      </c>
      <c r="D80" s="12">
        <f>D79+1</f>
        <v>2</v>
      </c>
      <c r="E80" s="12" t="s">
        <v>364</v>
      </c>
      <c r="F80" s="12" t="s">
        <v>365</v>
      </c>
      <c r="J80" s="70" t="s">
        <v>90</v>
      </c>
      <c r="K80" s="12" t="s">
        <v>124</v>
      </c>
      <c r="AJ80" s="12"/>
    </row>
    <row r="81" spans="1:36">
      <c r="B81" s="176">
        <v>30</v>
      </c>
      <c r="C81" s="12" t="s">
        <v>153</v>
      </c>
      <c r="D81" s="12">
        <f>D80+1</f>
        <v>3</v>
      </c>
      <c r="J81" s="70" t="s">
        <v>366</v>
      </c>
      <c r="K81" s="12" t="s">
        <v>124</v>
      </c>
    </row>
    <row r="82" spans="1:36">
      <c r="B82" s="176">
        <v>40</v>
      </c>
      <c r="C82" s="12" t="s">
        <v>154</v>
      </c>
      <c r="D82" s="12">
        <f>D81+1</f>
        <v>4</v>
      </c>
      <c r="J82" s="70"/>
    </row>
    <row r="83" spans="1:36">
      <c r="B83" s="176">
        <v>50</v>
      </c>
      <c r="C83" s="12" t="s">
        <v>155</v>
      </c>
      <c r="D83" s="12">
        <f>D82+1</f>
        <v>5</v>
      </c>
    </row>
    <row r="84" spans="1:36">
      <c r="B84" s="176">
        <v>60</v>
      </c>
      <c r="C84" s="12" t="s">
        <v>156</v>
      </c>
      <c r="D84" s="12">
        <f>D83+1</f>
        <v>6</v>
      </c>
    </row>
    <row r="85" spans="1:36">
      <c r="B85" s="176">
        <v>70</v>
      </c>
      <c r="C85" s="12" t="s">
        <v>157</v>
      </c>
      <c r="D85" s="12">
        <f>D84+1</f>
        <v>7</v>
      </c>
    </row>
    <row r="86" spans="1:36">
      <c r="B86" s="176">
        <v>80</v>
      </c>
      <c r="C86" s="12" t="s">
        <v>367</v>
      </c>
      <c r="D86" s="12">
        <f>D85+1</f>
        <v>8</v>
      </c>
    </row>
    <row r="87" spans="1:36">
      <c r="B87" s="176">
        <v>89.99999999999999</v>
      </c>
      <c r="C87" s="12" t="s">
        <v>368</v>
      </c>
      <c r="D87" s="12">
        <f>D86+1</f>
        <v>9</v>
      </c>
    </row>
    <row r="88" spans="1:36">
      <c r="B88" s="176">
        <v>99.99999999999999</v>
      </c>
      <c r="C88" s="12" t="s">
        <v>369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