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<sst xmlns="http://schemas.openxmlformats.org/spreadsheetml/2006/main" uniqueCount="368">
  <si>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</si>
  <si>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</si>
  <si>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</si>
  <si>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</si>
  <si>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</si>
  <si>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</si>
  <si>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</si>
  <si>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</si>
  <si>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</si>
  <si>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</si>
  <si>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</si>
  <si>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</si>
  <si>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</si>
  <si>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</si>
  <si>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</si>
  <si>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</si>
  <si>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</si>
  <si>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</si>
  <si>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</si>
  <si>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</si>
  <si>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</si>
  <si>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</si>
  <si>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</si>
  <si>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</si>
  <si>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</si>
  <si>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</si>
  <si>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</si>
  <si>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</si>
  <si>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</si>
  <si>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</si>
  <si>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</si>
  <si>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</si>
  <si>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</si>
  <si>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</si>
  <si>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</si>
  <si>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</si>
  <si>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</si>
  <si>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</si>
  <si>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</si>
  <si>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</si>
  <si>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</si>
  <si>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</si>
  <si>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</si>
  <si>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</si>
  <si>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</si>
  <si>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</si>
  <si>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</si>
  <si>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</si>
  <si>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</si>
  <si>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</si>
  <si>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</si>
  <si>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</si>
  <si>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</si>
  <si>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</si>
  <si>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</si>
  <si>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</si>
  <si>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</si>
  <si>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</si>
  <si>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</si>
  <si>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</si>
  <si>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</si>
  <si>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</si>
  <si>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</si>
  <si>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</si>
  <si>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</si>
  <si>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</si>
  <si>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</si>
  <si>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</si>
  <si>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</si>
  <si>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</si>
  <si>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</si>
  <si>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</si>
  <si>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</si>
  <si>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</si>
  <si>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</si>
  <si>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</si>
  <si>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</si>
  <si>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</si>
  <si>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</si>
  <si>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</si>
  <si>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</si>
  <si>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</si>
  <si>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</si>
  <si>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</si>
  <si>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</si>
  <si>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</si>
  <si>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</si>
  <si>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</si>
  <si>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</si>
  <si>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Beans</t>
  </si>
  <si>
    <t>Shop_certified variety</t>
  </si>
  <si>
    <t>Yes both manure and inorganic</t>
  </si>
  <si>
    <t>Yes</t>
  </si>
  <si>
    <t>Yes without the use of a pump</t>
  </si>
  <si>
    <t>March</t>
  </si>
  <si>
    <t>Tomatoes</t>
  </si>
  <si>
    <t>January</t>
  </si>
  <si>
    <t>Maize</t>
  </si>
  <si>
    <t>February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</si>
  <si>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</si>
  <si>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</si>
  <si>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</si>
  <si>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</si>
  <si>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</si>
  <si>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</si>
  <si>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</si>
  <si>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</si>
  <si>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</si>
  <si>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</si>
  <si>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</si>
  <si>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</si>
  <si>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</si>
  <si>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</si>
  <si>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</si>
  <si>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</si>
  <si>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</si>
  <si>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</si>
  <si>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</si>
  <si>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</si>
  <si>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</si>
  <si>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</si>
  <si>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</si>
  <si>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</si>
  <si>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</si>
  <si>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</si>
  <si>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</si>
  <si>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</si>
  <si>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</si>
  <si>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</si>
  <si>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</si>
  <si>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</si>
  <si>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</si>
  <si>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</si>
  <si>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</si>
  <si>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</si>
  <si>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</si>
  <si>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</si>
  <si>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</si>
  <si>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</si>
  <si>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</si>
  <si>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</si>
  <si>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</si>
  <si>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</si>
  <si>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11/13/17</t>
  </si>
  <si>
    <t>Equity</t>
  </si>
  <si>
    <t>Well Serviced</t>
  </si>
  <si>
    <t>Mpesa &amp; bank cash flows (from past statements)</t>
  </si>
  <si>
    <t>Cash inflows</t>
  </si>
  <si>
    <t>Cash outflows</t>
  </si>
  <si>
    <t>December</t>
  </si>
  <si>
    <t>November</t>
  </si>
  <si>
    <t>October</t>
  </si>
  <si>
    <t>September</t>
  </si>
  <si>
    <t>August</t>
  </si>
  <si>
    <t>Loan info</t>
  </si>
  <si>
    <t>Branch ID</t>
  </si>
  <si>
    <t>Submission date</t>
  </si>
  <si>
    <t>2018/2/13</t>
  </si>
  <si>
    <t>Loan terms</t>
  </si>
  <si>
    <t>Expected disbursement date</t>
  </si>
  <si>
    <t>2018/2/16</t>
  </si>
  <si>
    <t>Expected first repayment date</t>
  </si>
  <si>
    <t>2018/3/23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</si>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</sst>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Beans, Tomatoes, Maize,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>
        <f>IF(Inputs!B29="","None",Inputs!B29)</f>
        <v>0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0.4496460811602401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0.0222642851167071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174569.8838167196</v>
      </c>
    </row>
    <row r="18" spans="1:7">
      <c r="B18" s="1" t="s">
        <v>12</v>
      </c>
      <c r="C18" s="36">
        <f>MIN(Output!B6:M6)</f>
        <v>-36990.32687870665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2018</v>
      </c>
    </row>
    <row r="20" spans="1:7">
      <c r="B20" s="1" t="s">
        <v>14</v>
      </c>
      <c r="C20" s="36">
        <f>MAX(Output!B6:M6)</f>
        <v>60168.2312264464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November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6000</v>
      </c>
    </row>
    <row r="25" spans="1:7">
      <c r="B25" s="1" t="s">
        <v>18</v>
      </c>
      <c r="C25" s="36">
        <f>MAX(Inputs!A56:A60)</f>
        <v>6000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1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1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1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-7693.322387875151</v>
      </c>
      <c r="C6" s="51">
        <f>C30-C88</f>
        <v>-36990.32687870665</v>
      </c>
      <c r="D6" s="51">
        <f>D30-D88</f>
        <v>59968.2312264464</v>
      </c>
      <c r="E6" s="51">
        <f>E30-E88</f>
        <v>60168.2312264464</v>
      </c>
      <c r="F6" s="51">
        <f>F30-F88</f>
        <v>-1129.580012979412</v>
      </c>
      <c r="G6" s="51">
        <f>G30-G88</f>
        <v>12961.7087350282</v>
      </c>
      <c r="H6" s="51">
        <f>H30-H88</f>
        <v>-7693.322387875151</v>
      </c>
      <c r="I6" s="51">
        <f>I30-I88</f>
        <v>-36990.32687870665</v>
      </c>
      <c r="J6" s="51">
        <f>J30-J88</f>
        <v>59968.2312264464</v>
      </c>
      <c r="K6" s="51">
        <f>K30-K88</f>
        <v>60168.2312264464</v>
      </c>
      <c r="L6" s="51">
        <f>L30-L88</f>
        <v>-1129.580012979412</v>
      </c>
      <c r="M6" s="51">
        <f>M30-M88</f>
        <v>12961.7087350282</v>
      </c>
      <c r="N6" s="51">
        <f>N30-N88</f>
        <v>-7693.322387875151</v>
      </c>
      <c r="O6" s="51">
        <f>O30-O88</f>
        <v>-36990.32687870665</v>
      </c>
      <c r="P6" s="51">
        <f>P30-P88</f>
        <v>59968.2312264464</v>
      </c>
      <c r="Q6" s="51">
        <f>Q30-Q88</f>
        <v>60168.2312264464</v>
      </c>
      <c r="R6" s="51">
        <f>R30-R88</f>
        <v>-1129.580012979412</v>
      </c>
      <c r="S6" s="51">
        <f>S30-S88</f>
        <v>12961.7087350282</v>
      </c>
      <c r="T6" s="51">
        <f>T30-T88</f>
        <v>-7693.322387875151</v>
      </c>
      <c r="U6" s="51">
        <f>U30-U88</f>
        <v>-36990.32687870665</v>
      </c>
      <c r="V6" s="51">
        <f>V30-V88</f>
        <v>59968.2312264464</v>
      </c>
      <c r="W6" s="51">
        <f>W30-W88</f>
        <v>60168.2312264464</v>
      </c>
      <c r="X6" s="51">
        <f>X30-X88</f>
        <v>-1129.580012979412</v>
      </c>
      <c r="Y6" s="51">
        <f>Y30-Y88</f>
        <v>12961.7087350282</v>
      </c>
      <c r="Z6" s="51">
        <f>SUMIF($B$13:$Y$13,"Yes",B6:Y6)</f>
        <v>166876.5614288444</v>
      </c>
      <c r="AA6" s="51">
        <f>AA30-AA88</f>
        <v>174569.8838167196</v>
      </c>
      <c r="AB6" s="51">
        <f>AB30-AB88</f>
        <v>349139.7676334393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21644</v>
      </c>
      <c r="I7" s="80">
        <f>IF(ISERROR(VLOOKUP(MONTH(I5),Inputs!$D$66:$D$71,1,0)),"",INDEX(Inputs!$B$66:$B$71,MATCH(MONTH(Output!I5),Inputs!$D$66:$D$71,0))-INDEX(Inputs!$C$66:$C$71,MATCH(MONTH(Output!I5),Inputs!$D$66:$D$71,0)))</f>
        <v>20000</v>
      </c>
      <c r="J7" s="80">
        <f>IF(ISERROR(VLOOKUP(MONTH(J5),Inputs!$D$66:$D$71,1,0)),"",INDEX(Inputs!$B$66:$B$71,MATCH(MONTH(Output!J5),Inputs!$D$66:$D$71,0))-INDEX(Inputs!$C$66:$C$71,MATCH(MONTH(Output!J5),Inputs!$D$66:$D$71,0)))</f>
        <v>6723</v>
      </c>
      <c r="K7" s="80">
        <f>IF(ISERROR(VLOOKUP(MONTH(K5),Inputs!$D$66:$D$71,1,0)),"",INDEX(Inputs!$B$66:$B$71,MATCH(MONTH(Output!K5),Inputs!$D$66:$D$71,0))-INDEX(Inputs!$C$66:$C$71,MATCH(MONTH(Output!K5),Inputs!$D$66:$D$71,0)))</f>
        <v>7128</v>
      </c>
      <c r="L7" s="80">
        <f>IF(ISERROR(VLOOKUP(MONTH(L5),Inputs!$D$66:$D$71,1,0)),"",INDEX(Inputs!$B$66:$B$71,MATCH(MONTH(Output!L5),Inputs!$D$66:$D$71,0))-INDEX(Inputs!$C$66:$C$71,MATCH(MONTH(Output!L5),Inputs!$D$66:$D$71,0)))</f>
        <v>14936</v>
      </c>
      <c r="M7" s="80">
        <f>IF(ISERROR(VLOOKUP(MONTH(M5),Inputs!$D$66:$D$71,1,0)),"",INDEX(Inputs!$B$66:$B$71,MATCH(MONTH(Output!M5),Inputs!$D$66:$D$71,0))-INDEX(Inputs!$C$66:$C$71,MATCH(MONTH(Output!M5),Inputs!$D$66:$D$71,0)))</f>
        <v>19159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21644</v>
      </c>
      <c r="U7" s="80">
        <f>IF(ISERROR(VLOOKUP(MONTH(U5),Inputs!$D$66:$D$71,1,0)),"",INDEX(Inputs!$B$66:$B$71,MATCH(MONTH(Output!U5),Inputs!$D$66:$D$71,0))-INDEX(Inputs!$C$66:$C$71,MATCH(MONTH(Output!U5),Inputs!$D$66:$D$71,0)))</f>
        <v>20000</v>
      </c>
      <c r="V7" s="80">
        <f>IF(ISERROR(VLOOKUP(MONTH(V5),Inputs!$D$66:$D$71,1,0)),"",INDEX(Inputs!$B$66:$B$71,MATCH(MONTH(Output!V5),Inputs!$D$66:$D$71,0))-INDEX(Inputs!$C$66:$C$71,MATCH(MONTH(Output!V5),Inputs!$D$66:$D$71,0)))</f>
        <v>6723</v>
      </c>
      <c r="W7" s="80">
        <f>IF(ISERROR(VLOOKUP(MONTH(W5),Inputs!$D$66:$D$71,1,0)),"",INDEX(Inputs!$B$66:$B$71,MATCH(MONTH(Output!W5),Inputs!$D$66:$D$71,0))-INDEX(Inputs!$C$66:$C$71,MATCH(MONTH(Output!W5),Inputs!$D$66:$D$71,0)))</f>
        <v>7128</v>
      </c>
      <c r="X7" s="80">
        <f>IF(ISERROR(VLOOKUP(MONTH(X5),Inputs!$D$66:$D$71,1,0)),"",INDEX(Inputs!$B$66:$B$71,MATCH(MONTH(Output!X5),Inputs!$D$66:$D$71,0))-INDEX(Inputs!$C$66:$C$71,MATCH(MONTH(Output!X5),Inputs!$D$66:$D$71,0)))</f>
        <v>14936</v>
      </c>
      <c r="Y7" s="80">
        <f>IF(ISERROR(VLOOKUP(MONTH(Y5),Inputs!$D$66:$D$71,1,0)),"",INDEX(Inputs!$B$66:$B$71,MATCH(MONTH(Output!Y5),Inputs!$D$66:$D$71,0))-INDEX(Inputs!$C$66:$C$71,MATCH(MONTH(Output!Y5),Inputs!$D$66:$D$71,0)))</f>
        <v>19159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92306.67761212485</v>
      </c>
      <c r="C11" s="80">
        <f>C6+C9-C10</f>
        <v>-46990.32687870665</v>
      </c>
      <c r="D11" s="80">
        <f>D6+D9-D10</f>
        <v>49968.2312264464</v>
      </c>
      <c r="E11" s="80">
        <f>E6+E9-E10</f>
        <v>50168.2312264464</v>
      </c>
      <c r="F11" s="80">
        <f>F6+F9-F10</f>
        <v>-11129.58001297941</v>
      </c>
      <c r="G11" s="80">
        <f>G6+G9-G10</f>
        <v>2961.708735028202</v>
      </c>
      <c r="H11" s="80">
        <f>H6+H9-H10</f>
        <v>-17693.32238787515</v>
      </c>
      <c r="I11" s="80">
        <f>I6+I9-I10</f>
        <v>-46990.32687870665</v>
      </c>
      <c r="J11" s="80">
        <f>J6+J9-J10</f>
        <v>49968.2312264464</v>
      </c>
      <c r="K11" s="80">
        <f>K6+K9-K10</f>
        <v>50168.2312264464</v>
      </c>
      <c r="L11" s="80">
        <f>L6+L9-L10</f>
        <v>-11129.58001297941</v>
      </c>
      <c r="M11" s="80">
        <f>M6+M9-M10</f>
        <v>2961.708735028202</v>
      </c>
      <c r="N11" s="80">
        <f>N6+N9-N10</f>
        <v>-17693.32238787515</v>
      </c>
      <c r="O11" s="80">
        <f>O6+O9-O10</f>
        <v>-36990.32687870665</v>
      </c>
      <c r="P11" s="80">
        <f>P6+P9-P10</f>
        <v>59968.2312264464</v>
      </c>
      <c r="Q11" s="80">
        <f>Q6+Q9-Q10</f>
        <v>60168.2312264464</v>
      </c>
      <c r="R11" s="80">
        <f>R6+R9-R10</f>
        <v>-1129.580012979412</v>
      </c>
      <c r="S11" s="80">
        <f>S6+S9-S10</f>
        <v>12961.7087350282</v>
      </c>
      <c r="T11" s="80">
        <f>T6+T9-T10</f>
        <v>-7693.322387875151</v>
      </c>
      <c r="U11" s="80">
        <f>U6+U9-U10</f>
        <v>-36990.32687870665</v>
      </c>
      <c r="V11" s="80">
        <f>V6+V9-V10</f>
        <v>59968.2312264464</v>
      </c>
      <c r="W11" s="80">
        <f>W6+W9-W10</f>
        <v>60168.2312264464</v>
      </c>
      <c r="X11" s="80">
        <f>X6+X9-X10</f>
        <v>-1129.580012979412</v>
      </c>
      <c r="Y11" s="80">
        <f>Y6+Y9-Y10</f>
        <v>12961.7087350282</v>
      </c>
      <c r="Z11" s="85">
        <f>SUMIF($B$13:$Y$13,"Yes",B11:Y11)</f>
        <v>146876.5614288444</v>
      </c>
      <c r="AA11" s="80">
        <f>SUM(B11:M11)</f>
        <v>164569.8838167195</v>
      </c>
      <c r="AB11" s="46">
        <f>SUM(B11:Y11)</f>
        <v>329139.7676334391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0.1807783750629579</v>
      </c>
      <c r="D12" s="82">
        <f>IF(D13="Yes",IF(SUM($B$10:D10)/(SUM($B$6:D6)+SUM($B$9:D9))&lt;0,999.99,SUM($B$10:D10)/(SUM($B$6:D6)+SUM($B$9:D9))),"")</f>
        <v>0.173483736159644</v>
      </c>
      <c r="E12" s="82">
        <f>IF(E13="Yes",IF(SUM($B$10:E10)/(SUM($B$6:E6)+SUM($B$9:E9))&lt;0,999.99,SUM($B$10:E10)/(SUM($B$6:E6)+SUM($B$9:E9))),"")</f>
        <v>0.1709861441101169</v>
      </c>
      <c r="F12" s="82">
        <f>IF(F13="Yes",IF(SUM($B$10:F10)/(SUM($B$6:F6)+SUM($B$9:F9))&lt;0,999.99,SUM($B$10:F10)/(SUM($B$6:F6)+SUM($B$9:F9))),"")</f>
        <v>0.2294588005961749</v>
      </c>
      <c r="G12" s="82">
        <f>IF(G13="Yes",IF(SUM($B$10:G10)/(SUM($B$6:G6)+SUM($B$9:G9))&lt;0,999.99,SUM($B$10:G10)/(SUM($B$6:G6)+SUM($B$9:G9))),"")</f>
        <v>0.2669728782811885</v>
      </c>
      <c r="H12" s="82">
        <f>IF(H13="Yes",IF(SUM($B$10:H10)/(SUM($B$6:H6)+SUM($B$9:H9))&lt;0,999.99,SUM($B$10:H10)/(SUM($B$6:H6)+SUM($B$9:H9))),"")</f>
        <v>0.3340913131704136</v>
      </c>
      <c r="I12" s="82">
        <f>IF(I13="Yes",IF(SUM($B$10:I10)/(SUM($B$6:I6)+SUM($B$9:I9))&lt;0,999.99,SUM($B$10:I10)/(SUM($B$6:I6)+SUM($B$9:I9))),"")</f>
        <v>0.49087914073713</v>
      </c>
      <c r="J12" s="82">
        <f>IF(J13="Yes",IF(SUM($B$10:J10)/(SUM($B$6:J6)+SUM($B$9:J9))&lt;0,999.99,SUM($B$10:J10)/(SUM($B$6:J6)+SUM($B$9:J9))),"")</f>
        <v>0.3949261392944855</v>
      </c>
      <c r="K12" s="82">
        <f>IF(K13="Yes",IF(SUM($B$10:K10)/(SUM($B$6:K6)+SUM($B$9:K9))&lt;0,999.99,SUM($B$10:K10)/(SUM($B$6:K6)+SUM($B$9:K9))),"")</f>
        <v>0.3425468866001797</v>
      </c>
      <c r="L12" s="82">
        <f>IF(L13="Yes",IF(SUM($B$10:L10)/(SUM($B$6:L6)+SUM($B$9:L9))&lt;0,999.99,SUM($B$10:L10)/(SUM($B$6:L6)+SUM($B$9:L9))),"")</f>
        <v>0.3822510514771695</v>
      </c>
      <c r="M12" s="82">
        <f>IF(M13="Yes",IF(SUM($B$10:M10)/(SUM($B$6:M6)+SUM($B$9:M9))&lt;0,999.99,SUM($B$10:M10)/(SUM($B$6:M6)+SUM($B$9:M9))),"")</f>
        <v>0.4006266035841972</v>
      </c>
      <c r="N12" s="82">
        <f>IF(N13="Yes",IF(SUM($B$10:N10)/(SUM($B$6:N6)+SUM($B$9:N9))&lt;0,999.99,SUM($B$10:N10)/(SUM($B$6:N6)+SUM($B$9:N9))),"")</f>
        <v>0.4496460811602401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Beans</v>
      </c>
      <c r="B18" s="36">
        <f>N18</f>
        <v>15283.0044908315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13893.64044621045</v>
      </c>
      <c r="H18" s="36">
        <f>T18</f>
        <v>15283.0044908315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13893.64044621045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15283.0044908315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13893.64044621045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15283.0044908315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13893.64044621045</v>
      </c>
      <c r="Z18" s="36">
        <f>SUMIF($B$13:$Y$13,"Yes",B18:Y18)</f>
        <v>73636.2943649154</v>
      </c>
      <c r="AA18" s="36">
        <f>SUM(B18:M18)</f>
        <v>58353.2898740839</v>
      </c>
      <c r="AB18" s="36">
        <f>SUM(B18:Y18)</f>
        <v>116706.5797481678</v>
      </c>
      <c r="AC18" s="43"/>
      <c r="AD18" s="43"/>
    </row>
    <row r="19" spans="1:30">
      <c r="A19" t="str">
        <f>IF(Calculations!A5&lt;&gt;Parameters!$A$18,IF(Calculations!A5=0,"",Calculations!A5),Inputs!B8)</f>
        <v>Tomatoes</v>
      </c>
      <c r="B19" s="36">
        <f>N19</f>
        <v>0</v>
      </c>
      <c r="C19" s="36">
        <f>O19</f>
        <v>0</v>
      </c>
      <c r="D19" s="36">
        <f>P19</f>
        <v>84058.55810515305</v>
      </c>
      <c r="E19" s="36">
        <f>Q19</f>
        <v>84058.55810515305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84058.55810515305</v>
      </c>
      <c r="K19" s="36">
        <f>W19</f>
        <v>84058.55810515305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84058.55810515305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84058.55810515305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84058.55810515305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84058.55810515305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336234.2324206122</v>
      </c>
      <c r="AA19" s="36">
        <f>SUM(B19:M19)</f>
        <v>336234.2324206122</v>
      </c>
      <c r="AB19" s="36">
        <f>SUM(B19:Y19)</f>
        <v>672468.4648412244</v>
      </c>
      <c r="AC19" s="43"/>
      <c r="AD19" s="43"/>
    </row>
    <row r="20" spans="1:30">
      <c r="A20" t="str">
        <f>IF(Calculations!A6&lt;&gt;Parameters!$A$18,IF(Calculations!A6=0,"",Calculations!A6),Inputs!B9)</f>
        <v>Maize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18944.86685389566</v>
      </c>
      <c r="G20" s="36">
        <f>S20</f>
        <v>22733.84022467479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18944.86685389566</v>
      </c>
      <c r="M20" s="36">
        <f>Y20</f>
        <v>22733.84022467479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18944.86685389566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22733.84022467479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18944.86685389566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22733.84022467479</v>
      </c>
      <c r="Z20" s="36">
        <f>SUMIF($B$13:$Y$13,"Yes",B20:Y20)</f>
        <v>83357.4141571409</v>
      </c>
      <c r="AA20" s="36">
        <f>SUM(B20:M20)</f>
        <v>83357.4141571409</v>
      </c>
      <c r="AB20" s="36">
        <f>SUM(B20:Y20)</f>
        <v>166714.8283142818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15283.0044908315</v>
      </c>
      <c r="C30" s="19">
        <f>SUM(C18:C29)</f>
        <v>0</v>
      </c>
      <c r="D30" s="19">
        <f>SUM(D18:D29)</f>
        <v>84058.55810515305</v>
      </c>
      <c r="E30" s="19">
        <f>SUM(E18:E29)</f>
        <v>84058.55810515305</v>
      </c>
      <c r="F30" s="19">
        <f>SUM(F18:F29)</f>
        <v>18944.86685389566</v>
      </c>
      <c r="G30" s="19">
        <f>SUM(G18:G29)</f>
        <v>36627.48067088524</v>
      </c>
      <c r="H30" s="19">
        <f>SUM(H18:H29)</f>
        <v>15283.0044908315</v>
      </c>
      <c r="I30" s="19">
        <f>SUM(I18:I29)</f>
        <v>0</v>
      </c>
      <c r="J30" s="19">
        <f>SUM(J18:J29)</f>
        <v>84058.55810515305</v>
      </c>
      <c r="K30" s="19">
        <f>SUM(K18:K29)</f>
        <v>84058.55810515305</v>
      </c>
      <c r="L30" s="19">
        <f>SUM(L18:L29)</f>
        <v>18944.86685389566</v>
      </c>
      <c r="M30" s="19">
        <f>SUM(M18:M29)</f>
        <v>36627.48067088524</v>
      </c>
      <c r="N30" s="19">
        <f>SUM(N18:N29)</f>
        <v>15283.0044908315</v>
      </c>
      <c r="O30" s="19">
        <f>SUM(O18:O29)</f>
        <v>0</v>
      </c>
      <c r="P30" s="19">
        <f>SUM(P18:P29)</f>
        <v>84058.55810515305</v>
      </c>
      <c r="Q30" s="19">
        <f>SUM(Q18:Q29)</f>
        <v>84058.55810515305</v>
      </c>
      <c r="R30" s="19">
        <f>SUM(R18:R29)</f>
        <v>18944.86685389566</v>
      </c>
      <c r="S30" s="19">
        <f>SUM(S18:S29)</f>
        <v>36627.48067088524</v>
      </c>
      <c r="T30" s="19">
        <f>SUM(T18:T29)</f>
        <v>15283.0044908315</v>
      </c>
      <c r="U30" s="19">
        <f>SUM(U18:U29)</f>
        <v>0</v>
      </c>
      <c r="V30" s="19">
        <f>SUM(V18:V29)</f>
        <v>84058.55810515305</v>
      </c>
      <c r="W30" s="19">
        <f>SUM(W18:W29)</f>
        <v>84058.55810515305</v>
      </c>
      <c r="X30" s="19">
        <f>SUM(X18:X29)</f>
        <v>18944.86685389566</v>
      </c>
      <c r="Y30" s="19">
        <f>SUM(Y18:Y29)</f>
        <v>36627.48067088524</v>
      </c>
      <c r="Z30" s="19">
        <f>SUMIF($B$13:$Y$13,"Yes",B30:Y30)</f>
        <v>493227.9409426685</v>
      </c>
      <c r="AA30" s="19">
        <f>SUM(B30:M30)</f>
        <v>477944.936451837</v>
      </c>
      <c r="AB30" s="19">
        <f>SUM(B30:Y30)</f>
        <v>955889.8729036739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4000</v>
      </c>
      <c r="C36" s="36">
        <f>O36</f>
        <v>4000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2000</v>
      </c>
      <c r="H36" s="36">
        <f>T36</f>
        <v>4000</v>
      </c>
      <c r="I36" s="36">
        <f>U36</f>
        <v>4000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2000</v>
      </c>
      <c r="N36" s="36">
        <f>SUM(N37:N41)</f>
        <v>4000</v>
      </c>
      <c r="O36" s="36">
        <f>SUM(O37:O41)</f>
        <v>4000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2000</v>
      </c>
      <c r="T36" s="36">
        <f>SUM(T37:T41)</f>
        <v>4000</v>
      </c>
      <c r="U36" s="36">
        <f>SUM(U37:U41)</f>
        <v>4000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2000</v>
      </c>
      <c r="Z36" s="36">
        <f>SUMIF($B$13:$Y$13,"Yes",B36:Y36)</f>
        <v>24000</v>
      </c>
      <c r="AA36" s="36">
        <f>SUM(B36:M36)</f>
        <v>20000</v>
      </c>
      <c r="AB36" s="36">
        <f>SUM(B36:Y36)</f>
        <v>40000</v>
      </c>
      <c r="AC36" s="73"/>
    </row>
    <row r="37" spans="1:30" hidden="true" outlineLevel="1">
      <c r="A37" s="181" t="str">
        <f>Calculations!$A$4</f>
        <v>Beans</v>
      </c>
      <c r="B37" s="36">
        <f>N37</f>
        <v>0</v>
      </c>
      <c r="C37" s="36">
        <f>O37</f>
        <v>4000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4000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4000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4000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8000</v>
      </c>
      <c r="AA37" s="36">
        <f>SUM(B37:M37)</f>
        <v>8000</v>
      </c>
      <c r="AB37" s="36">
        <f>SUM(B37:Y37)</f>
        <v>16000</v>
      </c>
      <c r="AC37" s="73"/>
    </row>
    <row r="38" spans="1:30" hidden="true" outlineLevel="1">
      <c r="A38" s="181" t="str">
        <f>Calculations!$A$5</f>
        <v>Tomatoes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2000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2000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2000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2000</v>
      </c>
      <c r="Z38" s="36">
        <f>SUMIF($B$13:$Y$13,"Yes",B38:Y38)</f>
        <v>4000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 t="str">
        <f>Calculations!$A$6</f>
        <v>Maize</v>
      </c>
      <c r="B39" s="36">
        <f>N39</f>
        <v>4000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4000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4000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4000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12000</v>
      </c>
      <c r="AA39" s="36">
        <f>SUM(B39:M39)</f>
        <v>8000</v>
      </c>
      <c r="AB39" s="36">
        <f>SUM(B39:Y39)</f>
        <v>16000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606.0000000000001</v>
      </c>
      <c r="C42" s="36">
        <f>O42</f>
        <v>5000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750</v>
      </c>
      <c r="H42" s="36">
        <f>T42</f>
        <v>606.0000000000001</v>
      </c>
      <c r="I42" s="36">
        <f>U42</f>
        <v>5000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750</v>
      </c>
      <c r="N42" s="36">
        <f>SUM(N43:N47)</f>
        <v>606.0000000000001</v>
      </c>
      <c r="O42" s="36">
        <f>SUM(O43:O47)</f>
        <v>5000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750</v>
      </c>
      <c r="T42" s="36">
        <f>SUM(T43:T47)</f>
        <v>606.0000000000001</v>
      </c>
      <c r="U42" s="36">
        <f>SUM(U43:U47)</f>
        <v>5000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750</v>
      </c>
      <c r="Z42" s="36">
        <f>SUMIF($B$13:$Y$13,"Yes",B42:Y42)</f>
        <v>13318</v>
      </c>
      <c r="AA42" s="36">
        <f>SUM(B42:M42)</f>
        <v>12712</v>
      </c>
      <c r="AB42" s="36">
        <f>SUM(B42:Y42)</f>
        <v>25424</v>
      </c>
    </row>
    <row r="43" spans="1:30" hidden="true" outlineLevel="1">
      <c r="A43" s="181" t="str">
        <f>Calculations!$A$4</f>
        <v>Beans</v>
      </c>
      <c r="B43" s="36">
        <f>N43</f>
        <v>0</v>
      </c>
      <c r="C43" s="36">
        <f>O43</f>
        <v>5000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5000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5000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5000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10000</v>
      </c>
      <c r="AA43" s="36">
        <f>SUM(B43:M43)</f>
        <v>10000</v>
      </c>
      <c r="AB43" s="36">
        <f>SUM(B43:Y43)</f>
        <v>20000</v>
      </c>
    </row>
    <row r="44" spans="1:30" hidden="true" outlineLevel="1">
      <c r="A44" s="181" t="str">
        <f>Calculations!$A$5</f>
        <v>Tomatoes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750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750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750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750</v>
      </c>
      <c r="Z44" s="36">
        <f>SUMIF($B$13:$Y$13,"Yes",B44:Y44)</f>
        <v>1500</v>
      </c>
      <c r="AA44" s="36">
        <f>SUM(B44:M44)</f>
        <v>1500</v>
      </c>
      <c r="AB44" s="36">
        <f>SUM(B44:Y44)</f>
        <v>3000</v>
      </c>
    </row>
    <row r="45" spans="1:30" hidden="true" outlineLevel="1">
      <c r="A45" s="181" t="str">
        <f>Calculations!$A$6</f>
        <v>Maize</v>
      </c>
      <c r="B45" s="36">
        <f>N45</f>
        <v>606.0000000000001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606.0000000000001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606.0000000000001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606.0000000000001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1818</v>
      </c>
      <c r="AA45" s="36">
        <f>SUM(B45:M45)</f>
        <v>1212</v>
      </c>
      <c r="AB45" s="36">
        <f>SUM(B45:Y45)</f>
        <v>2424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4500</v>
      </c>
      <c r="D48" s="36">
        <f>P48</f>
        <v>600</v>
      </c>
      <c r="E48" s="36">
        <f>Q48</f>
        <v>6000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4500</v>
      </c>
      <c r="J48" s="36">
        <f>V48</f>
        <v>600</v>
      </c>
      <c r="K48" s="36">
        <f>W48</f>
        <v>6000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4500</v>
      </c>
      <c r="P48" s="46">
        <f>SUM(P49:P53)</f>
        <v>600</v>
      </c>
      <c r="Q48" s="46">
        <f>SUM(Q49:Q53)</f>
        <v>6000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4500</v>
      </c>
      <c r="V48" s="46">
        <f>SUM(V49:V53)</f>
        <v>600</v>
      </c>
      <c r="W48" s="46">
        <f>SUM(W49:W53)</f>
        <v>6000</v>
      </c>
      <c r="X48" s="46">
        <f>SUM(X49:X53)</f>
        <v>0</v>
      </c>
      <c r="Y48" s="46">
        <f>SUM(Y49:Y53)</f>
        <v>0</v>
      </c>
      <c r="Z48" s="46">
        <f>SUMIF($B$13:$Y$13,"Yes",B48:Y48)</f>
        <v>22200</v>
      </c>
      <c r="AA48" s="46">
        <f>SUM(B48:M48)</f>
        <v>22200</v>
      </c>
      <c r="AB48" s="46">
        <f>SUM(B48:Y48)</f>
        <v>44400</v>
      </c>
    </row>
    <row r="49" spans="1:30" hidden="true" outlineLevel="1">
      <c r="A49" s="181" t="str">
        <f>Calculations!$A$4</f>
        <v>Beans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6000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6000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6000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6000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12000</v>
      </c>
      <c r="AA49" s="46">
        <f>SUM(B49:M49)</f>
        <v>12000</v>
      </c>
      <c r="AB49" s="46">
        <f>SUM(B49:Y49)</f>
        <v>24000</v>
      </c>
    </row>
    <row r="50" spans="1:30" hidden="true" outlineLevel="1">
      <c r="A50" s="181" t="str">
        <f>Calculations!$A$5</f>
        <v>Tomatoes</v>
      </c>
      <c r="B50" s="36">
        <f>N50</f>
        <v>0</v>
      </c>
      <c r="C50" s="36">
        <f>O50</f>
        <v>4500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4500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4500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4500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9000</v>
      </c>
      <c r="AA50" s="46">
        <f>SUM(B50:M50)</f>
        <v>9000</v>
      </c>
      <c r="AB50" s="46">
        <f>SUM(B50:Y50)</f>
        <v>18000</v>
      </c>
    </row>
    <row r="51" spans="1:30" hidden="true" outlineLevel="1">
      <c r="A51" s="181" t="str">
        <f>Calculations!$A$6</f>
        <v>Maize</v>
      </c>
      <c r="B51" s="36">
        <f>N51</f>
        <v>0</v>
      </c>
      <c r="C51" s="36">
        <f>O51</f>
        <v>0</v>
      </c>
      <c r="D51" s="36">
        <f>P51</f>
        <v>600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600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600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600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1200</v>
      </c>
      <c r="AA51" s="46">
        <f>SUM(B51:M51)</f>
        <v>1200</v>
      </c>
      <c r="AB51" s="46">
        <f>SUM(B51:Y51)</f>
        <v>2400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2184.119988168422</v>
      </c>
      <c r="G54" s="36">
        <f>S54</f>
        <v>497.4450571503922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2184.119988168422</v>
      </c>
      <c r="M54" s="36">
        <f>Y54</f>
        <v>497.4450571503922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2184.119988168422</v>
      </c>
      <c r="S54" s="46">
        <f>SUM(S55:S59)</f>
        <v>497.4450571503922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2184.119988168422</v>
      </c>
      <c r="Y54" s="46">
        <f>SUM(Y55:Y59)</f>
        <v>497.4450571503922</v>
      </c>
      <c r="Z54" s="46">
        <f>SUMIF($B$13:$Y$13,"Yes",B54:Y54)</f>
        <v>5363.130090637628</v>
      </c>
      <c r="AA54" s="46">
        <f>SUM(B54:M54)</f>
        <v>5363.130090637628</v>
      </c>
      <c r="AB54" s="46">
        <f>SUM(B54:Y54)</f>
        <v>10726.26018127526</v>
      </c>
    </row>
    <row r="55" spans="1:30" hidden="true" outlineLevel="1">
      <c r="A55" s="181" t="str">
        <f>Calculations!$A$4</f>
        <v>Beans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497.4450571503922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497.4450571503922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497.4450571503922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497.4450571503922</v>
      </c>
      <c r="Z55" s="46">
        <f>SUMIF($B$13:$Y$13,"Yes",B55:Y55)</f>
        <v>994.8901143007844</v>
      </c>
      <c r="AA55" s="46">
        <f>SUM(B55:M55)</f>
        <v>994.8901143007844</v>
      </c>
      <c r="AB55" s="46">
        <f>SUM(B55:Y55)</f>
        <v>1989.780228601569</v>
      </c>
    </row>
    <row r="56" spans="1:30" hidden="true" outlineLevel="1">
      <c r="A56" s="181" t="str">
        <f>Calculations!$A$5</f>
        <v>Tomatoes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Maize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2184.119988168422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2184.119988168422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2184.119988168422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2184.119988168422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4368.239976336844</v>
      </c>
      <c r="AA57" s="46">
        <f>SUM(B57:M57)</f>
        <v>4368.239976336844</v>
      </c>
      <c r="AB57" s="46">
        <f>SUM(B57:Y57)</f>
        <v>8736.479952673688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Beans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Tomatoes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Maize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8672</v>
      </c>
      <c r="C66" s="36">
        <f>O66</f>
        <v>13792</v>
      </c>
      <c r="D66" s="36">
        <f>P66</f>
        <v>13792</v>
      </c>
      <c r="E66" s="36">
        <f>Q66</f>
        <v>8192</v>
      </c>
      <c r="F66" s="36">
        <f>R66</f>
        <v>8192</v>
      </c>
      <c r="G66" s="36">
        <f>S66</f>
        <v>10720</v>
      </c>
      <c r="H66" s="36">
        <f>T66</f>
        <v>8672</v>
      </c>
      <c r="I66" s="36">
        <f>U66</f>
        <v>13792</v>
      </c>
      <c r="J66" s="36">
        <f>V66</f>
        <v>13792</v>
      </c>
      <c r="K66" s="36">
        <f>W66</f>
        <v>8192</v>
      </c>
      <c r="L66" s="36">
        <f>X66</f>
        <v>8192</v>
      </c>
      <c r="M66" s="36">
        <f>Y66</f>
        <v>10720</v>
      </c>
      <c r="N66" s="46">
        <f>SUM(N67:N71)</f>
        <v>8672</v>
      </c>
      <c r="O66" s="46">
        <f>SUM(O67:O71)</f>
        <v>13792</v>
      </c>
      <c r="P66" s="46">
        <f>SUM(P67:P71)</f>
        <v>13792</v>
      </c>
      <c r="Q66" s="46">
        <f>SUM(Q67:Q71)</f>
        <v>8192</v>
      </c>
      <c r="R66" s="46">
        <f>SUM(R67:R71)</f>
        <v>8192</v>
      </c>
      <c r="S66" s="46">
        <f>SUM(S67:S71)</f>
        <v>10720</v>
      </c>
      <c r="T66" s="46">
        <f>SUM(T67:T71)</f>
        <v>8672</v>
      </c>
      <c r="U66" s="46">
        <f>SUM(U67:U71)</f>
        <v>13792</v>
      </c>
      <c r="V66" s="46">
        <f>SUM(V67:V71)</f>
        <v>13792</v>
      </c>
      <c r="W66" s="46">
        <f>SUM(W67:W71)</f>
        <v>8192</v>
      </c>
      <c r="X66" s="46">
        <f>SUM(X67:X71)</f>
        <v>8192</v>
      </c>
      <c r="Y66" s="46">
        <f>SUM(Y67:Y71)</f>
        <v>10720</v>
      </c>
      <c r="Z66" s="46">
        <f>SUMIF($B$13:$Y$13,"Yes",B66:Y66)</f>
        <v>135392</v>
      </c>
      <c r="AA66" s="46">
        <f>SUM(B66:M66)</f>
        <v>126720</v>
      </c>
      <c r="AB66" s="46">
        <f>SUM(B66:Y66)</f>
        <v>253440</v>
      </c>
    </row>
    <row r="67" spans="1:30" hidden="true" outlineLevel="1">
      <c r="A67" s="181" t="str">
        <f>Calculations!$A$4</f>
        <v>Beans</v>
      </c>
      <c r="B67" s="36">
        <f>N67</f>
        <v>0</v>
      </c>
      <c r="C67" s="36">
        <f>O67</f>
        <v>5120</v>
      </c>
      <c r="D67" s="36">
        <f>P67</f>
        <v>5120</v>
      </c>
      <c r="E67" s="36">
        <f>Q67</f>
        <v>5120</v>
      </c>
      <c r="F67" s="36">
        <f>R67</f>
        <v>5120</v>
      </c>
      <c r="G67" s="36">
        <f>S67</f>
        <v>5120</v>
      </c>
      <c r="H67" s="36">
        <f>T67</f>
        <v>0</v>
      </c>
      <c r="I67" s="36">
        <f>U67</f>
        <v>5120</v>
      </c>
      <c r="J67" s="36">
        <f>V67</f>
        <v>5120</v>
      </c>
      <c r="K67" s="36">
        <f>W67</f>
        <v>5120</v>
      </c>
      <c r="L67" s="36">
        <f>X67</f>
        <v>5120</v>
      </c>
      <c r="M67" s="36">
        <f>Y67</f>
        <v>5120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5120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5120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5120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5120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5120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5120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5120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5120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5120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5120</v>
      </c>
      <c r="Z67" s="46">
        <f>SUMIF($B$13:$Y$13,"Yes",B67:Y67)</f>
        <v>51200</v>
      </c>
      <c r="AA67" s="46">
        <f>SUM(B67:M67)</f>
        <v>51200</v>
      </c>
      <c r="AB67" s="46">
        <f>SUM(B67:Y67)</f>
        <v>102400</v>
      </c>
    </row>
    <row r="68" spans="1:30" hidden="true" outlineLevel="1">
      <c r="A68" s="181" t="str">
        <f>Calculations!$A$5</f>
        <v>Tomatoes</v>
      </c>
      <c r="B68" s="36">
        <f>N68</f>
        <v>5600</v>
      </c>
      <c r="C68" s="36">
        <f>O68</f>
        <v>5600</v>
      </c>
      <c r="D68" s="36">
        <f>P68</f>
        <v>5600</v>
      </c>
      <c r="E68" s="36">
        <f>Q68</f>
        <v>0</v>
      </c>
      <c r="F68" s="36">
        <f>R68</f>
        <v>0</v>
      </c>
      <c r="G68" s="36">
        <f>S68</f>
        <v>5600</v>
      </c>
      <c r="H68" s="36">
        <f>T68</f>
        <v>5600</v>
      </c>
      <c r="I68" s="36">
        <f>U68</f>
        <v>5600</v>
      </c>
      <c r="J68" s="36">
        <f>V68</f>
        <v>5600</v>
      </c>
      <c r="K68" s="36">
        <f>W68</f>
        <v>0</v>
      </c>
      <c r="L68" s="36">
        <f>X68</f>
        <v>0</v>
      </c>
      <c r="M68" s="36">
        <f>Y68</f>
        <v>5600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5600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5600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5600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5600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5600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5600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5600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5600</v>
      </c>
      <c r="Z68" s="46">
        <f>SUMIF($B$13:$Y$13,"Yes",B68:Y68)</f>
        <v>50400</v>
      </c>
      <c r="AA68" s="46">
        <f>SUM(B68:M68)</f>
        <v>44800</v>
      </c>
      <c r="AB68" s="46">
        <f>SUM(B68:Y68)</f>
        <v>89600</v>
      </c>
    </row>
    <row r="69" spans="1:30" hidden="true" outlineLevel="1">
      <c r="A69" s="181" t="str">
        <f>Calculations!$A$6</f>
        <v>Maize</v>
      </c>
      <c r="B69" s="36">
        <f>N69</f>
        <v>3072</v>
      </c>
      <c r="C69" s="36">
        <f>O69</f>
        <v>3072</v>
      </c>
      <c r="D69" s="36">
        <f>P69</f>
        <v>3072</v>
      </c>
      <c r="E69" s="36">
        <f>Q69</f>
        <v>3072</v>
      </c>
      <c r="F69" s="36">
        <f>R69</f>
        <v>3072</v>
      </c>
      <c r="G69" s="36">
        <f>S69</f>
        <v>0</v>
      </c>
      <c r="H69" s="36">
        <f>T69</f>
        <v>3072</v>
      </c>
      <c r="I69" s="36">
        <f>U69</f>
        <v>3072</v>
      </c>
      <c r="J69" s="36">
        <f>V69</f>
        <v>3072</v>
      </c>
      <c r="K69" s="36">
        <f>W69</f>
        <v>3072</v>
      </c>
      <c r="L69" s="36">
        <f>X69</f>
        <v>3072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3072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3072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3072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3072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3072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3072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3072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3072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3072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3072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33792</v>
      </c>
      <c r="AA69" s="46">
        <f>SUM(B69:M69)</f>
        <v>30720</v>
      </c>
      <c r="AB69" s="46">
        <f>SUM(B69:Y69)</f>
        <v>61440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9698.326878706646</v>
      </c>
      <c r="C81" s="46">
        <f>(SUM($AA$18:$AA$29)-SUM($AA$36,$AA$42,$AA$48,$AA$54,$AA$60,$AA$66,$AA$72:$AA$79))*Parameters!$B$37/12</f>
        <v>9698.326878706646</v>
      </c>
      <c r="D81" s="46">
        <f>(SUM($AA$18:$AA$29)-SUM($AA$36,$AA$42,$AA$48,$AA$54,$AA$60,$AA$66,$AA$72:$AA$79))*Parameters!$B$37/12</f>
        <v>9698.326878706646</v>
      </c>
      <c r="E81" s="46">
        <f>(SUM($AA$18:$AA$29)-SUM($AA$36,$AA$42,$AA$48,$AA$54,$AA$60,$AA$66,$AA$72:$AA$79))*Parameters!$B$37/12</f>
        <v>9698.326878706646</v>
      </c>
      <c r="F81" s="46">
        <f>(SUM($AA$18:$AA$29)-SUM($AA$36,$AA$42,$AA$48,$AA$54,$AA$60,$AA$66,$AA$72:$AA$79))*Parameters!$B$37/12</f>
        <v>9698.326878706646</v>
      </c>
      <c r="G81" s="46">
        <f>(SUM($AA$18:$AA$29)-SUM($AA$36,$AA$42,$AA$48,$AA$54,$AA$60,$AA$66,$AA$72:$AA$79))*Parameters!$B$37/12</f>
        <v>9698.326878706646</v>
      </c>
      <c r="H81" s="46">
        <f>(SUM($AA$18:$AA$29)-SUM($AA$36,$AA$42,$AA$48,$AA$54,$AA$60,$AA$66,$AA$72:$AA$79))*Parameters!$B$37/12</f>
        <v>9698.326878706646</v>
      </c>
      <c r="I81" s="46">
        <f>(SUM($AA$18:$AA$29)-SUM($AA$36,$AA$42,$AA$48,$AA$54,$AA$60,$AA$66,$AA$72:$AA$79))*Parameters!$B$37/12</f>
        <v>9698.326878706646</v>
      </c>
      <c r="J81" s="46">
        <f>(SUM($AA$18:$AA$29)-SUM($AA$36,$AA$42,$AA$48,$AA$54,$AA$60,$AA$66,$AA$72:$AA$79))*Parameters!$B$37/12</f>
        <v>9698.326878706646</v>
      </c>
      <c r="K81" s="46">
        <f>(SUM($AA$18:$AA$29)-SUM($AA$36,$AA$42,$AA$48,$AA$54,$AA$60,$AA$66,$AA$72:$AA$79))*Parameters!$B$37/12</f>
        <v>9698.326878706646</v>
      </c>
      <c r="L81" s="46">
        <f>(SUM($AA$18:$AA$29)-SUM($AA$36,$AA$42,$AA$48,$AA$54,$AA$60,$AA$66,$AA$72:$AA$79))*Parameters!$B$37/12</f>
        <v>9698.326878706646</v>
      </c>
      <c r="M81" s="46">
        <f>(SUM($AA$18:$AA$29)-SUM($AA$36,$AA$42,$AA$48,$AA$54,$AA$60,$AA$66,$AA$72:$AA$79))*Parameters!$B$37/12</f>
        <v>9698.326878706646</v>
      </c>
      <c r="N81" s="46">
        <f>(SUM($AA$18:$AA$29)-SUM($AA$36,$AA$42,$AA$48,$AA$54,$AA$60,$AA$66,$AA$72:$AA$79))*Parameters!$B$37/12</f>
        <v>9698.326878706646</v>
      </c>
      <c r="O81" s="46">
        <f>(SUM($AA$18:$AA$29)-SUM($AA$36,$AA$42,$AA$48,$AA$54,$AA$60,$AA$66,$AA$72:$AA$79))*Parameters!$B$37/12</f>
        <v>9698.326878706646</v>
      </c>
      <c r="P81" s="46">
        <f>(SUM($AA$18:$AA$29)-SUM($AA$36,$AA$42,$AA$48,$AA$54,$AA$60,$AA$66,$AA$72:$AA$79))*Parameters!$B$37/12</f>
        <v>9698.326878706646</v>
      </c>
      <c r="Q81" s="46">
        <f>(SUM($AA$18:$AA$29)-SUM($AA$36,$AA$42,$AA$48,$AA$54,$AA$60,$AA$66,$AA$72:$AA$79))*Parameters!$B$37/12</f>
        <v>9698.326878706646</v>
      </c>
      <c r="R81" s="46">
        <f>(SUM($AA$18:$AA$29)-SUM($AA$36,$AA$42,$AA$48,$AA$54,$AA$60,$AA$66,$AA$72:$AA$79))*Parameters!$B$37/12</f>
        <v>9698.326878706646</v>
      </c>
      <c r="S81" s="46">
        <f>(SUM($AA$18:$AA$29)-SUM($AA$36,$AA$42,$AA$48,$AA$54,$AA$60,$AA$66,$AA$72:$AA$79))*Parameters!$B$37/12</f>
        <v>9698.326878706646</v>
      </c>
      <c r="T81" s="46">
        <f>(SUM($AA$18:$AA$29)-SUM($AA$36,$AA$42,$AA$48,$AA$54,$AA$60,$AA$66,$AA$72:$AA$79))*Parameters!$B$37/12</f>
        <v>9698.326878706646</v>
      </c>
      <c r="U81" s="46">
        <f>(SUM($AA$18:$AA$29)-SUM($AA$36,$AA$42,$AA$48,$AA$54,$AA$60,$AA$66,$AA$72:$AA$79))*Parameters!$B$37/12</f>
        <v>9698.326878706646</v>
      </c>
      <c r="V81" s="46">
        <f>(SUM($AA$18:$AA$29)-SUM($AA$36,$AA$42,$AA$48,$AA$54,$AA$60,$AA$66,$AA$72:$AA$79))*Parameters!$B$37/12</f>
        <v>9698.326878706646</v>
      </c>
      <c r="W81" s="46">
        <f>(SUM($AA$18:$AA$29)-SUM($AA$36,$AA$42,$AA$48,$AA$54,$AA$60,$AA$66,$AA$72:$AA$79))*Parameters!$B$37/12</f>
        <v>9698.326878706646</v>
      </c>
      <c r="X81" s="46">
        <f>(SUM($AA$18:$AA$29)-SUM($AA$36,$AA$42,$AA$48,$AA$54,$AA$60,$AA$66,$AA$72:$AA$79))*Parameters!$B$37/12</f>
        <v>9698.326878706646</v>
      </c>
      <c r="Y81" s="46">
        <f>(SUM($AA$18:$AA$29)-SUM($AA$36,$AA$42,$AA$48,$AA$54,$AA$60,$AA$66,$AA$72:$AA$79))*Parameters!$B$37/12</f>
        <v>9698.326878706646</v>
      </c>
      <c r="Z81" s="46">
        <f>SUMIF($B$13:$Y$13,"Yes",B81:Y81)</f>
        <v>126078.2494231864</v>
      </c>
      <c r="AA81" s="46">
        <f>SUM(B81:M81)</f>
        <v>116379.9225444798</v>
      </c>
      <c r="AB81" s="46">
        <f>SUM(B81:Y81)</f>
        <v>232759.8450889594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22976.32687870665</v>
      </c>
      <c r="C88" s="19">
        <f>SUM(C72:C82,C66,C60,C54,C48,C42,C36)</f>
        <v>36990.32687870665</v>
      </c>
      <c r="D88" s="19">
        <f>SUM(D72:D82,D66,D60,D54,D48,D42,D36)</f>
        <v>24090.32687870665</v>
      </c>
      <c r="E88" s="19">
        <f>SUM(E72:E82,E66,E60,E54,E48,E42,E36)</f>
        <v>23890.32687870665</v>
      </c>
      <c r="F88" s="19">
        <f>SUM(F72:F82,F66,F60,F54,F48,F42,F36)</f>
        <v>20074.44686687507</v>
      </c>
      <c r="G88" s="19">
        <f>SUM(G72:G82,G66,G60,G54,G48,G42,G36)</f>
        <v>23665.77193585704</v>
      </c>
      <c r="H88" s="19">
        <f>SUM(H72:H82,H66,H60,H54,H48,H42,H36)</f>
        <v>22976.32687870665</v>
      </c>
      <c r="I88" s="19">
        <f>SUM(I72:I82,I66,I60,I54,I48,I42,I36)</f>
        <v>36990.32687870665</v>
      </c>
      <c r="J88" s="19">
        <f>SUM(J72:J82,J66,J60,J54,J48,J42,J36)</f>
        <v>24090.32687870665</v>
      </c>
      <c r="K88" s="19">
        <f>SUM(K72:K82,K66,K60,K54,K48,K42,K36)</f>
        <v>23890.32687870665</v>
      </c>
      <c r="L88" s="19">
        <f>SUM(L72:L82,L66,L60,L54,L48,L42,L36)</f>
        <v>20074.44686687507</v>
      </c>
      <c r="M88" s="19">
        <f>SUM(M72:M82,M66,M60,M54,M48,M42,M36)</f>
        <v>23665.77193585704</v>
      </c>
      <c r="N88" s="19">
        <f>SUM(N72:N82,N66,N60,N54,N48,N42,N36)</f>
        <v>22976.32687870665</v>
      </c>
      <c r="O88" s="19">
        <f>SUM(O72:O82,O66,O60,O54,O48,O42,O36)</f>
        <v>36990.32687870665</v>
      </c>
      <c r="P88" s="19">
        <f>SUM(P72:P82,P66,P60,P54,P48,P42,P36)</f>
        <v>24090.32687870665</v>
      </c>
      <c r="Q88" s="19">
        <f>SUM(Q72:Q82,Q66,Q60,Q54,Q48,Q42,Q36)</f>
        <v>23890.32687870665</v>
      </c>
      <c r="R88" s="19">
        <f>SUM(R72:R82,R66,R60,R54,R48,R42,R36)</f>
        <v>20074.44686687507</v>
      </c>
      <c r="S88" s="19">
        <f>SUM(S72:S82,S66,S60,S54,S48,S42,S36)</f>
        <v>23665.77193585704</v>
      </c>
      <c r="T88" s="19">
        <f>SUM(T72:T82,T66,T60,T54,T48,T42,T36)</f>
        <v>22976.32687870665</v>
      </c>
      <c r="U88" s="19">
        <f>SUM(U72:U82,U66,U60,U54,U48,U42,U36)</f>
        <v>36990.32687870665</v>
      </c>
      <c r="V88" s="19">
        <f>SUM(V72:V82,V66,V60,V54,V48,V42,V36)</f>
        <v>24090.32687870665</v>
      </c>
      <c r="W88" s="19">
        <f>SUM(W72:W82,W66,W60,W54,W48,W42,W36)</f>
        <v>23890.32687870665</v>
      </c>
      <c r="X88" s="19">
        <f>SUM(X72:X82,X66,X60,X54,X48,X42,X36)</f>
        <v>20074.44686687507</v>
      </c>
      <c r="Y88" s="19">
        <f>SUM(Y72:Y82,Y66,Y60,Y54,Y48,Y42,Y36)</f>
        <v>23665.77193585704</v>
      </c>
      <c r="Z88" s="19">
        <f>SUMIF($B$13:$Y$13,"Yes",B88:Y88)</f>
        <v>326351.379513824</v>
      </c>
      <c r="AA88" s="19">
        <f>SUM(B88:M88)</f>
        <v>303375.0526351173</v>
      </c>
      <c r="AB88" s="19">
        <f>SUM(B88:Y88)</f>
        <v>606750.1052702346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6200</v>
      </c>
    </row>
    <row r="95" spans="1:30">
      <c r="A95" t="s">
        <v>61</v>
      </c>
      <c r="B95" s="36">
        <f>Inputs!B47</f>
        <v>250000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2625000</v>
      </c>
    </row>
    <row r="98" spans="1:30">
      <c r="A98" t="s">
        <v>64</v>
      </c>
      <c r="B98" s="36">
        <f>IF(Inputs!B44="Yes",Inputs!B45,0)</f>
        <v>1200000</v>
      </c>
    </row>
    <row r="99" spans="1:30">
      <c r="A99" t="s">
        <v>65</v>
      </c>
      <c r="B99" s="36">
        <f>Inputs!B46</f>
        <v>700000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4781200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6450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106450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1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96</v>
      </c>
      <c r="K8" s="138"/>
      <c r="L8" s="16"/>
      <c r="M8" s="165">
        <v>5</v>
      </c>
      <c r="N8" s="154">
        <v>1</v>
      </c>
    </row>
    <row r="9" spans="1:48">
      <c r="A9" s="143" t="s">
        <v>97</v>
      </c>
      <c r="B9" s="16"/>
      <c r="C9" s="143">
        <v>2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98</v>
      </c>
      <c r="K9" s="138"/>
      <c r="L9" s="16"/>
      <c r="M9" s="165">
        <v>5</v>
      </c>
      <c r="N9" s="154">
        <v>1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100</v>
      </c>
      <c r="B18" s="10" t="s">
        <v>101</v>
      </c>
      <c r="C18" s="10" t="s">
        <v>102</v>
      </c>
      <c r="D18" s="10" t="s">
        <v>103</v>
      </c>
      <c r="E18" s="10" t="s">
        <v>104</v>
      </c>
      <c r="F18" s="10" t="s">
        <v>105</v>
      </c>
      <c r="G18" s="10" t="s">
        <v>106</v>
      </c>
      <c r="H18" s="10" t="s">
        <v>107</v>
      </c>
      <c r="I18" s="10" t="s">
        <v>108</v>
      </c>
      <c r="J18" s="10" t="s">
        <v>109</v>
      </c>
      <c r="K18" s="10" t="s">
        <v>110</v>
      </c>
      <c r="L18" s="10" t="s">
        <v>111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20</v>
      </c>
    </row>
    <row r="27" spans="1:48">
      <c r="A27" s="14" t="s">
        <v>114</v>
      </c>
    </row>
    <row r="29" spans="1:48">
      <c r="A29" s="45" t="s">
        <v>115</v>
      </c>
      <c r="B29" s="156">
        <v>0</v>
      </c>
    </row>
    <row r="30" spans="1:48">
      <c r="A30" s="44" t="s">
        <v>116</v>
      </c>
      <c r="B30" s="157">
        <v>0</v>
      </c>
    </row>
    <row r="31" spans="1:48">
      <c r="A31" s="5" t="s">
        <v>117</v>
      </c>
      <c r="B31" s="158">
        <v>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1200000</v>
      </c>
    </row>
    <row r="46" spans="1:48" customHeight="1" ht="30">
      <c r="A46" s="57" t="s">
        <v>131</v>
      </c>
      <c r="B46" s="161">
        <v>700000</v>
      </c>
    </row>
    <row r="47" spans="1:48" customHeight="1" ht="30">
      <c r="A47" s="57" t="s">
        <v>132</v>
      </c>
      <c r="B47" s="161">
        <v>250000</v>
      </c>
    </row>
    <row r="48" spans="1:48" customHeight="1" ht="30">
      <c r="A48" s="57" t="s">
        <v>133</v>
      </c>
      <c r="B48" s="161">
        <v>0</v>
      </c>
    </row>
    <row r="49" spans="1:48" customHeight="1" ht="30">
      <c r="A49" s="57" t="s">
        <v>134</v>
      </c>
      <c r="B49" s="161">
        <v>6200</v>
      </c>
    </row>
    <row r="50" spans="1:48">
      <c r="A50" s="43"/>
      <c r="B50" s="36"/>
    </row>
    <row r="51" spans="1:48">
      <c r="A51" s="58" t="s">
        <v>135</v>
      </c>
      <c r="B51" s="161">
        <v>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6000</v>
      </c>
      <c r="B56" s="159">
        <v>6450</v>
      </c>
      <c r="C56" s="162" t="s">
        <v>143</v>
      </c>
      <c r="D56" s="163" t="s">
        <v>144</v>
      </c>
      <c r="E56" s="163" t="s">
        <v>92</v>
      </c>
      <c r="F56" s="163" t="s">
        <v>145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147</v>
      </c>
      <c r="C65" s="10" t="s">
        <v>148</v>
      </c>
    </row>
    <row r="66" spans="1:48">
      <c r="A66" s="142" t="s">
        <v>96</v>
      </c>
      <c r="B66" s="159">
        <v>261925</v>
      </c>
      <c r="C66" s="163">
        <v>242766</v>
      </c>
      <c r="D66" s="49">
        <f>INDEX(Parameters!$D$79:$D$90,MATCH(Inputs!A66,Parameters!$C$79:$C$90,0))</f>
        <v>1</v>
      </c>
    </row>
    <row r="67" spans="1:48">
      <c r="A67" s="143" t="s">
        <v>149</v>
      </c>
      <c r="B67" s="157">
        <v>217810</v>
      </c>
      <c r="C67" s="165">
        <v>202874</v>
      </c>
      <c r="D67" s="49">
        <f>INDEX(Parameters!$D$79:$D$90,MATCH(Inputs!A67,Parameters!$C$79:$C$90,0))</f>
        <v>12</v>
      </c>
    </row>
    <row r="68" spans="1:48">
      <c r="A68" s="143" t="s">
        <v>150</v>
      </c>
      <c r="B68" s="157">
        <v>94592</v>
      </c>
      <c r="C68" s="165">
        <v>87464</v>
      </c>
      <c r="D68" s="49">
        <f>INDEX(Parameters!$D$79:$D$90,MATCH(Inputs!A68,Parameters!$C$79:$C$90,0))</f>
        <v>11</v>
      </c>
    </row>
    <row r="69" spans="1:48">
      <c r="A69" s="143" t="s">
        <v>151</v>
      </c>
      <c r="B69" s="157">
        <v>95332</v>
      </c>
      <c r="C69" s="165">
        <v>88609</v>
      </c>
      <c r="D69" s="49">
        <f>INDEX(Parameters!$D$79:$D$90,MATCH(Inputs!A69,Parameters!$C$79:$C$90,0))</f>
        <v>10</v>
      </c>
    </row>
    <row r="70" spans="1:48">
      <c r="A70" s="143" t="s">
        <v>152</v>
      </c>
      <c r="B70" s="157">
        <v>121697</v>
      </c>
      <c r="C70" s="165">
        <v>101697</v>
      </c>
      <c r="D70" s="49">
        <f>INDEX(Parameters!$D$79:$D$90,MATCH(Inputs!A70,Parameters!$C$79:$C$90,0))</f>
        <v>9</v>
      </c>
    </row>
    <row r="71" spans="1:48">
      <c r="A71" s="144" t="s">
        <v>153</v>
      </c>
      <c r="B71" s="158">
        <v>115835</v>
      </c>
      <c r="C71" s="167">
        <v>94191</v>
      </c>
      <c r="D71" s="49">
        <f>INDEX(Parameters!$D$79:$D$90,MATCH(Inputs!A71,Parameters!$C$79:$C$90,0))</f>
        <v>8</v>
      </c>
    </row>
    <row r="73" spans="1:48">
      <c r="A73" s="3" t="s">
        <v>154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155</v>
      </c>
      <c r="B75" s="161">
        <v>4</v>
      </c>
    </row>
    <row r="76" spans="1:48">
      <c r="A76" t="s">
        <v>156</v>
      </c>
      <c r="B76" s="168" t="s">
        <v>157</v>
      </c>
    </row>
    <row r="78" spans="1:48" customHeight="1" ht="20.25">
      <c r="B78" s="127" t="s">
        <v>158</v>
      </c>
    </row>
    <row r="79" spans="1:48">
      <c r="A79" t="s">
        <v>159</v>
      </c>
      <c r="B79" s="168" t="s">
        <v>160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161</v>
      </c>
      <c r="B80" s="168" t="s">
        <v>162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163</v>
      </c>
      <c r="B81" s="161">
        <v>100000</v>
      </c>
    </row>
    <row r="82" spans="1:48">
      <c r="A82" t="s">
        <v>164</v>
      </c>
      <c r="B82" s="161">
        <v>20</v>
      </c>
    </row>
    <row r="83" spans="1:48">
      <c r="A83" t="s">
        <v>165</v>
      </c>
      <c r="B83" s="169" t="s">
        <v>166</v>
      </c>
    </row>
    <row r="84" spans="1:48">
      <c r="A84" t="s">
        <v>167</v>
      </c>
      <c r="B84" s="169">
        <v>1</v>
      </c>
    </row>
    <row r="85" spans="1:48">
      <c r="A85" t="s">
        <v>168</v>
      </c>
      <c r="B85" s="169">
        <v>12</v>
      </c>
    </row>
    <row r="86" spans="1:48">
      <c r="A86" t="s">
        <v>169</v>
      </c>
      <c r="B86" s="161"/>
    </row>
    <row r="87" spans="1:48">
      <c r="A87" t="s">
        <v>170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171</v>
      </c>
      <c r="C3" s="15" t="s">
        <v>172</v>
      </c>
      <c r="D3" s="15" t="s">
        <v>173</v>
      </c>
      <c r="E3" s="15" t="s">
        <v>174</v>
      </c>
      <c r="F3" s="15" t="s">
        <v>175</v>
      </c>
      <c r="G3" s="15" t="s">
        <v>176</v>
      </c>
      <c r="H3" s="15" t="s">
        <v>177</v>
      </c>
      <c r="I3" s="15" t="s">
        <v>178</v>
      </c>
      <c r="J3" s="15" t="s">
        <v>179</v>
      </c>
      <c r="K3" s="15" t="s">
        <v>180</v>
      </c>
      <c r="L3" s="15" t="s">
        <v>181</v>
      </c>
      <c r="M3" s="15" t="s">
        <v>182</v>
      </c>
      <c r="N3" s="15" t="s">
        <v>183</v>
      </c>
      <c r="O3" s="15" t="s">
        <v>184</v>
      </c>
      <c r="P3" s="15" t="s">
        <v>185</v>
      </c>
      <c r="Q3" s="32" t="s">
        <v>186</v>
      </c>
      <c r="R3" s="15" t="s">
        <v>187</v>
      </c>
      <c r="S3" s="15" t="s">
        <v>188</v>
      </c>
      <c r="T3" s="15" t="s">
        <v>189</v>
      </c>
      <c r="U3" s="178" t="s">
        <v>87</v>
      </c>
      <c r="V3" s="32" t="s">
        <v>190</v>
      </c>
      <c r="W3" s="32" t="s">
        <v>191</v>
      </c>
      <c r="X3" s="32" t="s">
        <v>192</v>
      </c>
      <c r="Y3" s="32" t="s">
        <v>193</v>
      </c>
      <c r="Z3" s="32" t="s">
        <v>43</v>
      </c>
      <c r="AA3" s="32" t="s">
        <v>194</v>
      </c>
      <c r="AB3" s="32" t="s">
        <v>195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Beans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43160</v>
      </c>
      <c r="C4" s="38">
        <f>IFERROR(DATE(YEAR(B4),MONTH(B4)+ROUND(T4/2,0),DAY(B4)),B4)</f>
        <v>43221</v>
      </c>
      <c r="D4" s="38">
        <f>IFERROR(DATE(YEAR(B4),MONTH(B4)+T4,DAY(B4)),"")</f>
        <v>43282</v>
      </c>
      <c r="E4" s="38">
        <f>IFERROR(IF($S4=0,"",IF($S4=2,DATE(YEAR(B4),MONTH(B4)+6,DAY(B4)),IF($S4=1,B4,""))),"")</f>
        <v>43344</v>
      </c>
      <c r="F4" s="38">
        <f>IFERROR(IF($S4=0,"",IF($S4=2,DATE(YEAR(C4),MONTH(C4)+6,DAY(C4)),IF($S4=1,C4,""))),"")</f>
        <v>43405</v>
      </c>
      <c r="G4" s="38">
        <f>IFERROR(IF($S4=0,"",IF($S4=2,DATE(YEAR(D4),MONTH(D4)+6,DAY(D4)),IF($S4=1,D4,""))),"")</f>
        <v>43466</v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596.9340685804706</v>
      </c>
      <c r="M4" s="25">
        <f>L4*H4</f>
        <v>1193.868137160941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24.5</v>
      </c>
      <c r="P4" s="22">
        <f>IFERROR(INDEX(Parameters!$A$3:$V$17,MATCH(Calculations!$A4,Parameters!$A$3:$A$17,0),MATCH($P$3,Parameters!$A$3:$V$3,0)),0)</f>
        <v>0.1</v>
      </c>
      <c r="Q4" s="33">
        <f>IFERROR(M4*O4*(1-N4)*MAX(S4,1),0)</f>
        <v>55574.5617848418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5000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6000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497.4450571503922</v>
      </c>
      <c r="AB4" s="33">
        <f>H4*IFERROR(INDEX(Parameters!$A$3:$AI$17,MATCH(Calculations!A4,Parameters!$A$3:$A$17,0),MATCH(Parameters!$O$3,Parameters!$A$3:$AI$3,0)),AVERAGE(Parameters!$O$4:$O$17))*(1-Inputs!$B$25/100)</f>
        <v>32000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Tomatoes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43466</v>
      </c>
      <c r="C5" s="39">
        <f>IFERROR(DATE(YEAR(B5),MONTH(B5)+ROUND(T5/2,0),DAY(B5)),B5)</f>
        <v>43525</v>
      </c>
      <c r="D5" s="39">
        <f>IFERROR(DATE(YEAR(B5),MONTH(B5)+T5,DAY(B5)),"")</f>
        <v>43556</v>
      </c>
      <c r="E5" s="39">
        <f>IFERROR(IF($S5=0,"",IF($S5=2,DATE(YEAR(B5),MONTH(B5)+6,DAY(B5)),IF($S5=1,B5,""))),"")</f>
        <v>43647</v>
      </c>
      <c r="F5" s="39">
        <f>IFERROR(IF($S5=0,"",IF($S5=2,DATE(YEAR(C5),MONTH(C5)+6,DAY(C5)),IF($S5=1,C5,""))),"")</f>
        <v>43709</v>
      </c>
      <c r="G5" s="39">
        <f>IFERROR(IF($S5=0,"",IF($S5=2,DATE(YEAR(D5),MONTH(D5)+6,DAY(D5)),IF($S5=1,D5,""))),"")</f>
        <v>43739</v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120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5056.15387098665</v>
      </c>
      <c r="M5" s="30">
        <f>L5*H5</f>
        <v>5056.15387098665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35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336234.2324206122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3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750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4500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28000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Maize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43132</v>
      </c>
      <c r="C6" s="39">
        <f>IFERROR(DATE(YEAR(B6),MONTH(B6)+ROUND(T6/2,0),DAY(B6)),B6)</f>
        <v>43191</v>
      </c>
      <c r="D6" s="39">
        <f>IFERROR(DATE(YEAR(B6),MONTH(B6)+T6,DAY(B6)),"")</f>
        <v>43252</v>
      </c>
      <c r="E6" s="39">
        <f>IFERROR(IF($S6=0,"",IF($S6=2,DATE(YEAR(B6),MONTH(B6)+6,DAY(B6)),IF($S6=1,B6,""))),"")</f>
        <v>43313</v>
      </c>
      <c r="F6" s="39">
        <f>IFERROR(IF($S6=0,"",IF($S6=2,DATE(YEAR(C6),MONTH(C6)+6,DAY(C6)),IF($S6=1,C6,""))),"")</f>
        <v>43374</v>
      </c>
      <c r="G6" s="39">
        <f>IFERROR(IF($S6=0,"",IF($S6=2,DATE(YEAR(D6),MONTH(D6)+6,DAY(D6)),IF($S6=1,D6,""))),"")</f>
        <v>43435</v>
      </c>
      <c r="H6" s="16">
        <f>Inputs!C9</f>
        <v>2</v>
      </c>
      <c r="I6" s="138" t="str">
        <f>IFERROR(VLOOKUP(Inputs!E9,Parameters!$J$77:$K$81,2,0),"")</f>
        <v>Yes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150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949.6173861601835</v>
      </c>
      <c r="M6" s="30">
        <f>L6*H6</f>
        <v>1899.234772320367</v>
      </c>
      <c r="N6" s="22">
        <f>Calculations!U6</f>
        <v>0.05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21</v>
      </c>
      <c r="P6" s="22">
        <f>IFERROR(INDEX(Parameters!$A$3:$V$17,MATCH(Calculations!$A6,Parameters!$A$3:$A$17,0),MATCH($P$3,Parameters!$A$3:$V$3,0)),0)</f>
        <v>0.2</v>
      </c>
      <c r="Q6" s="34">
        <f>IFERROR(M6*O6*(1-N6)*MAX(S6,1),0)</f>
        <v>75779.46741558264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4</v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606.0000000000001</v>
      </c>
      <c r="W6" s="34">
        <f>IFERROR(J6*H6*Parameters!$B$35+IF(OR(Inputs!F9=Parameters!$E$78,Inputs!F9=Parameters!$E$80),Calculations!H6*Parameters!$B$36,0),0)</f>
        <v>4000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600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2184.119988168422</v>
      </c>
      <c r="AB6" s="34">
        <f>H6*IFERROR(INDEX(Parameters!$A$3:$AI$17,MATCH(Calculations!A6,Parameters!$A$3:$A$17,0),MATCH(Parameters!$O$3,Parameters!$A$3:$AI$3,0)),AVERAGE(Parameters!$O$4:$O$17))*(1-Inputs!$B$25/100)</f>
        <v>19200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100</v>
      </c>
      <c r="B13" s="15" t="s">
        <v>35</v>
      </c>
      <c r="C13" s="15" t="s">
        <v>196</v>
      </c>
      <c r="D13" s="15" t="s">
        <v>197</v>
      </c>
      <c r="E13" s="15" t="s">
        <v>198</v>
      </c>
      <c r="F13" s="15" t="s">
        <v>199</v>
      </c>
      <c r="G13" s="15" t="s">
        <v>200</v>
      </c>
      <c r="H13" s="15" t="s">
        <v>201</v>
      </c>
      <c r="I13" s="15" t="s">
        <v>202</v>
      </c>
      <c r="J13" s="15" t="s">
        <v>203</v>
      </c>
      <c r="K13" s="15" t="s">
        <v>204</v>
      </c>
      <c r="L13" s="15" t="s">
        <v>205</v>
      </c>
      <c r="M13" s="178" t="s">
        <v>206</v>
      </c>
      <c r="N13" s="178" t="s">
        <v>207</v>
      </c>
      <c r="O13" s="62" t="s">
        <v>208</v>
      </c>
      <c r="P13" s="62" t="s">
        <v>209</v>
      </c>
      <c r="Q13" s="62" t="s">
        <v>210</v>
      </c>
      <c r="R13" s="62" t="s">
        <v>211</v>
      </c>
      <c r="S13" s="62" t="s">
        <v>212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213</v>
      </c>
      <c r="C22" s="74" t="s">
        <v>214</v>
      </c>
      <c r="D22" s="74" t="s">
        <v>215</v>
      </c>
      <c r="E22" s="74" t="s">
        <v>216</v>
      </c>
    </row>
    <row r="23" spans="1:52">
      <c r="A23" s="75">
        <f>Inputs!A56</f>
        <v>6000</v>
      </c>
      <c r="B23" s="75">
        <f>SUM(C23:D23)</f>
        <v>101.2846998063267</v>
      </c>
      <c r="C23" s="75">
        <f>IF(Inputs!B56&gt;0,(Inputs!A56-Inputs!B56)/(DATE(YEAR(Inputs!$B$76),MONTH(Inputs!$B$76),DAY(Inputs!$B$76))-DATE(YEAR(Inputs!C56),MONTH(Inputs!C56),DAY(Inputs!C56)))*30,0)</f>
        <v>-8.715300193673338</v>
      </c>
      <c r="D23" s="75">
        <f>IF(Inputs!B56&gt;0,Inputs!A56*0.22/12,0)</f>
        <v>110</v>
      </c>
      <c r="E23" s="75">
        <f>IFERROR(ROUNDUP(Inputs!B56/C23,0),0)</f>
        <v>-741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218</v>
      </c>
      <c r="B32" s="129" t="s">
        <v>219</v>
      </c>
      <c r="C32" s="129" t="s">
        <v>220</v>
      </c>
      <c r="D32" s="129" t="s">
        <v>221</v>
      </c>
      <c r="F32" s="132" t="s">
        <v>222</v>
      </c>
      <c r="G32" s="132" t="s">
        <v>223</v>
      </c>
      <c r="I32" s="174" t="s">
        <v>224</v>
      </c>
      <c r="J32" s="175" t="str">
        <f>VLOOKUP(VALUE(Inputs!B75),Parameters!A54:B71,2,0)</f>
        <v> Thika</v>
      </c>
    </row>
    <row r="33" spans="1:52">
      <c r="A33">
        <v>1</v>
      </c>
      <c r="B33" s="128">
        <f>G34</f>
        <v>43182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43160</v>
      </c>
      <c r="F33" t="s">
        <v>159</v>
      </c>
      <c r="G33" s="128">
        <f>IF(Inputs!B79="","",DATE(YEAR(Inputs!B79),MONTH(Inputs!B79),DAY(Inputs!B79)))</f>
        <v>43147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43213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43191</v>
      </c>
      <c r="F34" t="s">
        <v>161</v>
      </c>
      <c r="G34" s="128">
        <f>IF(Inputs!B80="","",DATE(YEAR(Inputs!B80),MONTH(Inputs!B80),DAY(Inputs!B80)))</f>
        <v>43182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43243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43221</v>
      </c>
      <c r="F35" t="s">
        <v>163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43274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43252</v>
      </c>
      <c r="F36" t="s">
        <v>164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43304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43282</v>
      </c>
      <c r="F37" t="s">
        <v>225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43335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43313</v>
      </c>
      <c r="F38" t="s">
        <v>226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43366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43344</v>
      </c>
      <c r="F39" t="s">
        <v>169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43396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43374</v>
      </c>
      <c r="F40" t="s">
        <v>170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43427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43405</v>
      </c>
      <c r="F41" t="s">
        <v>227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43457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43435</v>
      </c>
      <c r="F42" t="s">
        <v>228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43488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43519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229</v>
      </c>
      <c r="C3" s="10" t="s">
        <v>230</v>
      </c>
      <c r="D3" s="10" t="s">
        <v>231</v>
      </c>
      <c r="E3" s="10" t="s">
        <v>232</v>
      </c>
      <c r="F3" s="10" t="s">
        <v>233</v>
      </c>
      <c r="G3" s="10" t="s">
        <v>234</v>
      </c>
      <c r="H3" s="10" t="s">
        <v>235</v>
      </c>
      <c r="I3" s="10" t="s">
        <v>236</v>
      </c>
      <c r="J3" s="10" t="s">
        <v>237</v>
      </c>
      <c r="K3" s="10" t="s">
        <v>238</v>
      </c>
      <c r="L3" s="10" t="s">
        <v>239</v>
      </c>
      <c r="M3" s="10" t="s">
        <v>240</v>
      </c>
      <c r="N3" s="10" t="s">
        <v>241</v>
      </c>
      <c r="O3" s="10" t="s">
        <v>242</v>
      </c>
      <c r="P3" s="10" t="s">
        <v>243</v>
      </c>
      <c r="Q3" s="10" t="s">
        <v>244</v>
      </c>
      <c r="R3" s="10" t="s">
        <v>245</v>
      </c>
      <c r="S3" s="10" t="s">
        <v>246</v>
      </c>
      <c r="T3" s="10" t="s">
        <v>247</v>
      </c>
      <c r="U3" s="10" t="s">
        <v>187</v>
      </c>
      <c r="V3" s="10" t="s">
        <v>185</v>
      </c>
      <c r="W3" s="10" t="s">
        <v>248</v>
      </c>
      <c r="X3" s="10" t="s">
        <v>249</v>
      </c>
      <c r="Y3" s="10" t="s">
        <v>250</v>
      </c>
      <c r="Z3" s="10" t="s">
        <v>251</v>
      </c>
      <c r="AA3" s="10" t="s">
        <v>252</v>
      </c>
      <c r="AB3" s="10" t="s">
        <v>253</v>
      </c>
      <c r="AC3" s="10" t="s">
        <v>254</v>
      </c>
      <c r="AD3" s="10" t="s">
        <v>255</v>
      </c>
      <c r="AE3" s="10" t="s">
        <v>256</v>
      </c>
      <c r="AF3" s="10" t="s">
        <v>257</v>
      </c>
      <c r="AG3" s="10" t="s">
        <v>258</v>
      </c>
      <c r="AH3" s="10" t="s">
        <v>259</v>
      </c>
      <c r="AI3" s="10" t="s">
        <v>260</v>
      </c>
    </row>
    <row r="4" spans="1:36" s="93" customFormat="1">
      <c r="A4" s="93" t="s">
        <v>261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89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95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276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100</v>
      </c>
      <c r="B22" s="8" t="s">
        <v>277</v>
      </c>
      <c r="C22" s="10" t="s">
        <v>278</v>
      </c>
      <c r="D22" s="10" t="s">
        <v>279</v>
      </c>
      <c r="E22" s="10" t="s">
        <v>280</v>
      </c>
      <c r="F22" s="10" t="s">
        <v>281</v>
      </c>
      <c r="G22" s="10" t="s">
        <v>282</v>
      </c>
      <c r="H22" s="10" t="s">
        <v>283</v>
      </c>
      <c r="I22" s="10" t="s">
        <v>201</v>
      </c>
      <c r="J22" s="10" t="s">
        <v>284</v>
      </c>
      <c r="K22" s="10" t="s">
        <v>285</v>
      </c>
      <c r="L22" s="10" t="s">
        <v>286</v>
      </c>
      <c r="M22" s="10" t="s">
        <v>287</v>
      </c>
      <c r="N22" s="10" t="s">
        <v>288</v>
      </c>
      <c r="O22" s="10" t="s">
        <v>289</v>
      </c>
      <c r="P22" s="10" t="s">
        <v>290</v>
      </c>
    </row>
    <row r="23" spans="1:36" s="21" customFormat="1">
      <c r="A23" s="21" t="s">
        <v>291</v>
      </c>
      <c r="B23" s="21" t="s">
        <v>292</v>
      </c>
      <c r="C23" s="72" t="s">
        <v>293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294</v>
      </c>
      <c r="B24" s="21" t="s">
        <v>295</v>
      </c>
      <c r="C24" s="116" t="s">
        <v>263</v>
      </c>
      <c r="D24" s="115" t="s">
        <v>263</v>
      </c>
      <c r="E24" s="106">
        <v>0.05</v>
      </c>
      <c r="F24" s="106">
        <v>0.1</v>
      </c>
      <c r="G24" s="106">
        <v>0.2</v>
      </c>
      <c r="H24" s="116" t="s">
        <v>263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296</v>
      </c>
      <c r="B25" s="16" t="s">
        <v>297</v>
      </c>
      <c r="C25" s="30" t="s">
        <v>298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263</v>
      </c>
      <c r="J25" s="72" t="s">
        <v>263</v>
      </c>
      <c r="K25" s="72" t="s">
        <v>263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299</v>
      </c>
      <c r="B26" s="16" t="s">
        <v>295</v>
      </c>
      <c r="C26" s="116" t="s">
        <v>263</v>
      </c>
      <c r="D26" s="115" t="s">
        <v>263</v>
      </c>
      <c r="E26" s="106">
        <v>0.2</v>
      </c>
      <c r="F26" s="106">
        <v>0.7</v>
      </c>
      <c r="G26" s="106">
        <v>2</v>
      </c>
      <c r="H26" s="116" t="s">
        <v>263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300</v>
      </c>
      <c r="B27" s="71" t="s">
        <v>295</v>
      </c>
      <c r="C27" s="116" t="s">
        <v>263</v>
      </c>
      <c r="D27" s="115" t="s">
        <v>263</v>
      </c>
      <c r="E27" s="106">
        <v>0.15</v>
      </c>
      <c r="F27" s="106">
        <v>0.25</v>
      </c>
      <c r="G27" s="106">
        <v>1</v>
      </c>
      <c r="H27" s="116" t="s">
        <v>263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301</v>
      </c>
      <c r="B28" s="71" t="s">
        <v>295</v>
      </c>
      <c r="C28" s="116" t="s">
        <v>263</v>
      </c>
      <c r="D28" s="115" t="s">
        <v>263</v>
      </c>
      <c r="E28" s="106">
        <v>0.15</v>
      </c>
      <c r="F28" s="106">
        <v>0.25</v>
      </c>
      <c r="G28" s="106">
        <v>1</v>
      </c>
      <c r="H28" s="116" t="s">
        <v>263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302</v>
      </c>
      <c r="B29" s="118" t="s">
        <v>295</v>
      </c>
      <c r="C29" s="31" t="s">
        <v>263</v>
      </c>
      <c r="D29" s="31" t="s">
        <v>263</v>
      </c>
      <c r="E29" s="24">
        <v>0.1</v>
      </c>
      <c r="F29" s="24">
        <v>0.2</v>
      </c>
      <c r="G29" s="24">
        <v>0</v>
      </c>
      <c r="H29" s="31" t="s">
        <v>263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303</v>
      </c>
      <c r="B30" s="70" t="s">
        <v>295</v>
      </c>
    </row>
    <row r="31" spans="1:36">
      <c r="H31" s="86"/>
      <c r="I31" s="86"/>
      <c r="AI31" s="12"/>
    </row>
    <row r="32" spans="1:36">
      <c r="A32" s="3" t="s">
        <v>304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305</v>
      </c>
      <c r="B34" s="11" t="s">
        <v>306</v>
      </c>
    </row>
    <row r="35" spans="1:36">
      <c r="A35" t="s">
        <v>307</v>
      </c>
      <c r="B35" s="72">
        <v>60</v>
      </c>
      <c r="C35" s="86"/>
    </row>
    <row r="36" spans="1:36">
      <c r="A36" t="s">
        <v>308</v>
      </c>
      <c r="B36" s="72">
        <v>2000</v>
      </c>
      <c r="C36" s="86"/>
    </row>
    <row r="37" spans="1:36">
      <c r="A37" t="s">
        <v>309</v>
      </c>
      <c r="B37" s="2">
        <v>0.4</v>
      </c>
    </row>
    <row r="39" spans="1:36">
      <c r="A39" s="3" t="s">
        <v>310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311</v>
      </c>
      <c r="C40" s="193"/>
    </row>
    <row r="41" spans="1:36">
      <c r="A41" s="5" t="s">
        <v>100</v>
      </c>
      <c r="B41" s="191" t="s">
        <v>312</v>
      </c>
      <c r="C41" s="191" t="s">
        <v>92</v>
      </c>
    </row>
    <row r="42" spans="1:36">
      <c r="A42" t="s">
        <v>291</v>
      </c>
      <c r="B42" s="72">
        <v>450</v>
      </c>
      <c r="C42" s="72">
        <v>450</v>
      </c>
    </row>
    <row r="43" spans="1:36">
      <c r="A43" t="s">
        <v>294</v>
      </c>
      <c r="B43" s="72">
        <v>450</v>
      </c>
      <c r="C43" s="72">
        <v>250</v>
      </c>
    </row>
    <row r="44" spans="1:36">
      <c r="A44" t="s">
        <v>296</v>
      </c>
      <c r="B44" s="72">
        <v>50000</v>
      </c>
      <c r="C44" s="72">
        <v>200000</v>
      </c>
    </row>
    <row r="45" spans="1:36">
      <c r="A45" t="s">
        <v>299</v>
      </c>
      <c r="B45" s="72">
        <v>25000</v>
      </c>
      <c r="C45" s="72">
        <v>50000</v>
      </c>
    </row>
    <row r="46" spans="1:36">
      <c r="A46" t="s">
        <v>300</v>
      </c>
      <c r="B46" s="72">
        <v>6000</v>
      </c>
      <c r="C46" s="72">
        <v>12000</v>
      </c>
    </row>
    <row r="47" spans="1:36">
      <c r="A47" t="s">
        <v>301</v>
      </c>
      <c r="B47" s="72">
        <v>4500</v>
      </c>
      <c r="C47" s="72">
        <v>12000</v>
      </c>
    </row>
    <row r="48" spans="1:36">
      <c r="A48" t="s">
        <v>302</v>
      </c>
      <c r="B48" s="72">
        <v>20000</v>
      </c>
      <c r="C48" s="72">
        <v>20000</v>
      </c>
      <c r="D48" s="72"/>
    </row>
    <row r="50" spans="1:36">
      <c r="A50" s="3" t="s">
        <v>313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97</v>
      </c>
      <c r="E52" s="12" t="s">
        <v>97</v>
      </c>
      <c r="F52" s="12" t="s">
        <v>97</v>
      </c>
      <c r="G52" s="12" t="s">
        <v>314</v>
      </c>
      <c r="H52" s="12" t="s">
        <v>128</v>
      </c>
      <c r="I52" s="12" t="s">
        <v>315</v>
      </c>
      <c r="AJ52" s="12"/>
    </row>
    <row r="53" spans="1:36" customHeight="1" ht="30">
      <c r="A53" s="11" t="s">
        <v>316</v>
      </c>
      <c r="B53" s="11" t="s">
        <v>317</v>
      </c>
      <c r="C53" s="11" t="s">
        <v>318</v>
      </c>
      <c r="D53" s="10" t="s">
        <v>229</v>
      </c>
      <c r="E53" s="10" t="s">
        <v>188</v>
      </c>
      <c r="F53" s="10" t="s">
        <v>248</v>
      </c>
      <c r="G53" s="10" t="s">
        <v>319</v>
      </c>
      <c r="H53" s="10" t="s">
        <v>320</v>
      </c>
      <c r="I53" s="10" t="s">
        <v>320</v>
      </c>
      <c r="AJ53" s="12"/>
    </row>
    <row r="54" spans="1:36">
      <c r="A54">
        <v>8</v>
      </c>
      <c r="B54" s="12" t="s">
        <v>321</v>
      </c>
      <c r="C54" s="12" t="s">
        <v>322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323</v>
      </c>
      <c r="C55" s="12" t="s">
        <v>322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324</v>
      </c>
      <c r="C56" s="116" t="s">
        <v>325</v>
      </c>
      <c r="D56" s="189">
        <v>930</v>
      </c>
      <c r="E56" s="189">
        <v>1</v>
      </c>
      <c r="F56" s="189">
        <v>6</v>
      </c>
      <c r="G56" s="72" t="s">
        <v>312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326</v>
      </c>
      <c r="C57" s="116" t="s">
        <v>322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327</v>
      </c>
      <c r="C58" s="116" t="s">
        <v>322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328</v>
      </c>
      <c r="C59" s="116" t="s">
        <v>325</v>
      </c>
      <c r="D59" s="189">
        <v>465</v>
      </c>
      <c r="E59" s="189">
        <v>2</v>
      </c>
      <c r="F59" s="189">
        <v>4</v>
      </c>
      <c r="G59" s="72" t="s">
        <v>312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329</v>
      </c>
      <c r="C60" s="116" t="s">
        <v>325</v>
      </c>
      <c r="D60" s="189">
        <v>465</v>
      </c>
      <c r="E60" s="189">
        <v>1</v>
      </c>
      <c r="F60" s="189">
        <v>5</v>
      </c>
      <c r="G60" s="72" t="s">
        <v>312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330</v>
      </c>
      <c r="C61" s="116" t="s">
        <v>325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331</v>
      </c>
      <c r="C62" s="116" t="s">
        <v>325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332</v>
      </c>
      <c r="C63" s="116" t="s">
        <v>325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333</v>
      </c>
      <c r="C64" s="116" t="s">
        <v>325</v>
      </c>
      <c r="D64" s="189">
        <v>930</v>
      </c>
      <c r="E64" s="189">
        <v>1</v>
      </c>
      <c r="F64" s="189">
        <v>6</v>
      </c>
      <c r="G64" s="72" t="s">
        <v>312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334</v>
      </c>
      <c r="C65" s="12" t="s">
        <v>325</v>
      </c>
      <c r="D65" s="89">
        <v>465</v>
      </c>
      <c r="E65" s="89">
        <v>2</v>
      </c>
      <c r="F65" s="89">
        <v>4</v>
      </c>
      <c r="G65" s="7" t="s">
        <v>312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335</v>
      </c>
      <c r="C66" s="12" t="s">
        <v>325</v>
      </c>
      <c r="D66" s="89">
        <v>465</v>
      </c>
      <c r="E66" s="89">
        <v>2</v>
      </c>
      <c r="F66" s="89">
        <v>4</v>
      </c>
      <c r="G66" s="7" t="s">
        <v>312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336</v>
      </c>
      <c r="C67" s="12" t="s">
        <v>325</v>
      </c>
      <c r="D67" s="89">
        <v>930</v>
      </c>
      <c r="E67" s="89">
        <v>1</v>
      </c>
      <c r="F67" s="89">
        <v>6</v>
      </c>
      <c r="G67" s="7" t="s">
        <v>312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337</v>
      </c>
      <c r="C68" s="12" t="s">
        <v>325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338</v>
      </c>
      <c r="C69" s="12" t="s">
        <v>325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339</v>
      </c>
      <c r="C70" s="12" t="s">
        <v>325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340</v>
      </c>
      <c r="C71" s="12" t="s">
        <v>322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342</v>
      </c>
      <c r="B76" s="11" t="s">
        <v>343</v>
      </c>
      <c r="C76" s="11" t="s">
        <v>166</v>
      </c>
      <c r="D76" s="11" t="s">
        <v>344</v>
      </c>
      <c r="E76" s="11" t="s">
        <v>80</v>
      </c>
      <c r="F76" s="11" t="s">
        <v>345</v>
      </c>
      <c r="G76" s="11" t="s">
        <v>346</v>
      </c>
      <c r="H76" s="11" t="s">
        <v>347</v>
      </c>
      <c r="I76" s="11" t="s">
        <v>225</v>
      </c>
      <c r="J76" s="11" t="s">
        <v>348</v>
      </c>
      <c r="K76" s="11" t="s">
        <v>178</v>
      </c>
      <c r="AJ76" s="12"/>
    </row>
    <row r="77" spans="1:36">
      <c r="A77" t="s">
        <v>92</v>
      </c>
      <c r="B77" s="176">
        <v>0</v>
      </c>
      <c r="C77" s="12" t="s">
        <v>349</v>
      </c>
      <c r="E77" s="12" t="s">
        <v>312</v>
      </c>
      <c r="F77" s="12" t="s">
        <v>312</v>
      </c>
      <c r="G77" s="12" t="s">
        <v>350</v>
      </c>
      <c r="H77" s="12" t="s">
        <v>128</v>
      </c>
      <c r="I77" s="12" t="s">
        <v>351</v>
      </c>
      <c r="J77" s="136" t="s">
        <v>352</v>
      </c>
      <c r="K77" s="12" t="s">
        <v>312</v>
      </c>
      <c r="AJ77" s="12"/>
    </row>
    <row r="78" spans="1:36">
      <c r="A78" t="s">
        <v>312</v>
      </c>
      <c r="B78" s="176">
        <v>5</v>
      </c>
      <c r="C78" s="134" t="s">
        <v>353</v>
      </c>
      <c r="D78" s="133"/>
      <c r="E78" s="12" t="s">
        <v>354</v>
      </c>
      <c r="F78" s="12" t="s">
        <v>355</v>
      </c>
      <c r="G78" s="12" t="s">
        <v>356</v>
      </c>
      <c r="H78" s="12" t="s">
        <v>315</v>
      </c>
      <c r="I78" s="12" t="s">
        <v>357</v>
      </c>
      <c r="J78" s="70" t="s">
        <v>358</v>
      </c>
      <c r="K78" s="12" t="s">
        <v>312</v>
      </c>
      <c r="AJ78" s="12"/>
    </row>
    <row r="79" spans="1:36">
      <c r="B79" s="176">
        <v>10</v>
      </c>
      <c r="C79" s="12" t="s">
        <v>96</v>
      </c>
      <c r="D79" s="12">
        <v>1</v>
      </c>
      <c r="E79" s="12" t="s">
        <v>359</v>
      </c>
      <c r="F79" s="12" t="s">
        <v>360</v>
      </c>
      <c r="G79" s="12" t="s">
        <v>361</v>
      </c>
      <c r="I79" s="12" t="s">
        <v>166</v>
      </c>
      <c r="J79" s="70" t="s">
        <v>362</v>
      </c>
      <c r="K79" s="12" t="s">
        <v>312</v>
      </c>
      <c r="AJ79" s="12"/>
    </row>
    <row r="80" spans="1:36">
      <c r="B80" s="176">
        <v>20</v>
      </c>
      <c r="C80" s="12" t="s">
        <v>98</v>
      </c>
      <c r="D80" s="12">
        <f>D79+1</f>
        <v>2</v>
      </c>
      <c r="E80" s="12" t="s">
        <v>91</v>
      </c>
      <c r="F80" s="12" t="s">
        <v>93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94</v>
      </c>
      <c r="D81" s="12">
        <f>D80+1</f>
        <v>3</v>
      </c>
      <c r="J81" s="70" t="s">
        <v>363</v>
      </c>
      <c r="K81" s="12" t="s">
        <v>92</v>
      </c>
    </row>
    <row r="82" spans="1:36">
      <c r="B82" s="176">
        <v>40</v>
      </c>
      <c r="C82" s="12" t="s">
        <v>364</v>
      </c>
      <c r="D82" s="12">
        <f>D81+1</f>
        <v>4</v>
      </c>
      <c r="J82" s="70"/>
    </row>
    <row r="83" spans="1:36">
      <c r="B83" s="176">
        <v>50</v>
      </c>
      <c r="C83" s="12" t="s">
        <v>365</v>
      </c>
      <c r="D83" s="12">
        <f>D82+1</f>
        <v>5</v>
      </c>
    </row>
    <row r="84" spans="1:36">
      <c r="B84" s="176">
        <v>60</v>
      </c>
      <c r="C84" s="12" t="s">
        <v>366</v>
      </c>
      <c r="D84" s="12">
        <f>D83+1</f>
        <v>6</v>
      </c>
    </row>
    <row r="85" spans="1:36">
      <c r="B85" s="176">
        <v>70</v>
      </c>
      <c r="C85" s="12" t="s">
        <v>367</v>
      </c>
      <c r="D85" s="12">
        <f>D84+1</f>
        <v>7</v>
      </c>
    </row>
    <row r="86" spans="1:36">
      <c r="B86" s="176">
        <v>80</v>
      </c>
      <c r="C86" s="12" t="s">
        <v>153</v>
      </c>
      <c r="D86" s="12">
        <f>D85+1</f>
        <v>8</v>
      </c>
    </row>
    <row r="87" spans="1:36">
      <c r="B87" s="176">
        <v>89.99999999999999</v>
      </c>
      <c r="C87" s="12" t="s">
        <v>152</v>
      </c>
      <c r="D87" s="12">
        <f>D86+1</f>
        <v>9</v>
      </c>
    </row>
    <row r="88" spans="1:36">
      <c r="B88" s="176">
        <v>99.99999999999999</v>
      </c>
      <c r="C88" s="12" t="s">
        <v>151</v>
      </c>
      <c r="D88" s="12">
        <f>D87+1</f>
        <v>10</v>
      </c>
    </row>
    <row r="89" spans="1:36">
      <c r="C89" s="12" t="s">
        <v>150</v>
      </c>
      <c r="D89" s="12">
        <f>D88+1</f>
        <v>11</v>
      </c>
    </row>
    <row r="90" spans="1:36">
      <c r="C90" s="12" t="s">
        <v>149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