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<sst xmlns="http://schemas.openxmlformats.org/spreadsheetml/2006/main" uniqueCount="369">
  <si>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</si>
  <si>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</si>
  <si>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</si>
  <si>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</si>
  <si>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</si>
  <si>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</si>
  <si>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</si>
  <si>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</si>
  <si>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</si>
  <si>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</si>
  <si>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</si>
  <si>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</si>
  <si>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</si>
  <si>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</si>
  <si>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</si>
  <si>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</si>
  <si>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</si>
  <si>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</si>
  <si>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</si>
  <si>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</si>
  <si>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</si>
  <si>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</si>
  <si>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</si>
  <si>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</si>
  <si>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</si>
  <si>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</si>
  <si>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</si>
  <si>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</si>
  <si>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</si>
  <si>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</si>
  <si>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</si>
  <si>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</si>
  <si>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</si>
  <si>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</si>
  <si>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</si>
  <si>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</si>
  <si>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</si>
  <si>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</si>
  <si>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</si>
  <si>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</si>
  <si>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</si>
  <si>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</si>
  <si>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</si>
  <si>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</si>
  <si>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</si>
  <si>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</si>
  <si>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</si>
  <si>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</si>
  <si>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</si>
  <si>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</si>
  <si>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</si>
  <si>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</si>
  <si>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</si>
  <si>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</si>
  <si>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</si>
  <si>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</si>
  <si>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</si>
  <si>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</si>
  <si>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</si>
  <si>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</si>
  <si>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</si>
  <si>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</si>
  <si>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</si>
  <si>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</si>
  <si>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</si>
  <si>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</si>
  <si>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</si>
  <si>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</si>
  <si>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</si>
  <si>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</si>
  <si>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</si>
  <si>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</si>
  <si>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</si>
  <si>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</si>
  <si>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</si>
  <si>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</si>
  <si>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</si>
  <si>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</si>
  <si>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</si>
  <si>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</si>
  <si>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</si>
  <si>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</si>
  <si>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</si>
  <si>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</si>
  <si>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</si>
  <si>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</si>
  <si>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</si>
  <si>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</si>
  <si>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</si>
  <si>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</si>
  <si>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</si>
  <si>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</si>
  <si>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</si>
  <si>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using a diesel pump</t>
  </si>
  <si>
    <t>March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</si>
  <si>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</si>
  <si>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</si>
  <si>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</si>
  <si>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</si>
  <si>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</si>
  <si>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</si>
  <si>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</si>
  <si>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</si>
  <si>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</si>
  <si>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</si>
  <si>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</si>
  <si>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</si>
  <si>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</si>
  <si>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</si>
  <si>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</si>
  <si>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</si>
  <si>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</si>
  <si>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</si>
  <si>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veterinay officer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</si>
  <si>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</si>
  <si>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</si>
  <si>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</si>
  <si>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</si>
  <si>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</si>
  <si>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</si>
  <si>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</si>
  <si>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</si>
  <si>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</si>
  <si>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</si>
  <si>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</si>
  <si>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</si>
  <si>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December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</si>
  <si>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</si>
  <si>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</si>
  <si>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</si>
  <si>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</si>
  <si>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</si>
  <si>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</si>
  <si>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</si>
  <si>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</si>
  <si>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</si>
  <si>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</si>
  <si>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</si>
  <si>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</si>
  <si>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</si>
  <si>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</si>
  <si>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</si>
  <si>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</si>
  <si>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9/26/2017</t>
  </si>
  <si>
    <t>musoni</t>
  </si>
  <si>
    <t>serviced well,TRP 100%</t>
  </si>
  <si>
    <t>Mpesa &amp; bank cash flows (from past statements)</t>
  </si>
  <si>
    <t>Cash inflows</t>
  </si>
  <si>
    <t>Cash outflows</t>
  </si>
  <si>
    <t>January</t>
  </si>
  <si>
    <t>February</t>
  </si>
  <si>
    <t>April</t>
  </si>
  <si>
    <t>May</t>
  </si>
  <si>
    <t>June</t>
  </si>
  <si>
    <t>Loan info</t>
  </si>
  <si>
    <t>Branch ID</t>
  </si>
  <si>
    <t>Submission date</t>
  </si>
  <si>
    <t>2018/2/13</t>
  </si>
  <si>
    <t>Loan terms</t>
  </si>
  <si>
    <t>Expected disbursement date</t>
  </si>
  <si>
    <t>Expected first repayment date</t>
  </si>
  <si>
    <t>2018/3/13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</si>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</sst>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veterinay officer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2.653562653562654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>
        <f>IFERROR(Output!B107/Output!B101,"")</f>
        <v>1.285714285714286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-165000</v>
      </c>
    </row>
    <row r="18" spans="1:7">
      <c r="B18" s="1" t="s">
        <v>12</v>
      </c>
      <c r="C18" s="36">
        <f>MIN(Output!B6:M6)</f>
        <v>-25490.47619047619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666.6666666666666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2019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180000</v>
      </c>
    </row>
    <row r="25" spans="1:7">
      <c r="B25" s="1" t="s">
        <v>18</v>
      </c>
      <c r="C25" s="36">
        <f>MAX(Inputs!A56:A60)</f>
        <v>180000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-15490.47619047619</v>
      </c>
      <c r="C6" s="51">
        <f>C30-C88</f>
        <v>-25490.47619047619</v>
      </c>
      <c r="D6" s="51">
        <f>D30-D88</f>
        <v>-15490.47619047619</v>
      </c>
      <c r="E6" s="51">
        <f>E30-E88</f>
        <v>-15490.47619047619</v>
      </c>
      <c r="F6" s="51">
        <f>F30-F88</f>
        <v>-15490.47619047619</v>
      </c>
      <c r="G6" s="51">
        <f>G30-G88</f>
        <v>-15490.47619047619</v>
      </c>
      <c r="H6" s="51">
        <f>H30-H88</f>
        <v>-15490.47619047619</v>
      </c>
      <c r="I6" s="51">
        <f>I30-I88</f>
        <v>-15490.47619047619</v>
      </c>
      <c r="J6" s="51">
        <f>J30-J88</f>
        <v>-15490.47619047619</v>
      </c>
      <c r="K6" s="51">
        <f>K30-K88</f>
        <v>-6919.047619047623</v>
      </c>
      <c r="L6" s="51">
        <f>L30-L88</f>
        <v>-9333.333333333334</v>
      </c>
      <c r="M6" s="51">
        <f>M30-M88</f>
        <v>666.6666666666666</v>
      </c>
      <c r="N6" s="51">
        <f>N30-N88</f>
        <v>666.6666666666666</v>
      </c>
      <c r="O6" s="51">
        <f>O30-O88</f>
        <v>-9333.333333333334</v>
      </c>
      <c r="P6" s="51">
        <f>P30-P88</f>
        <v>666.6666666666666</v>
      </c>
      <c r="Q6" s="51">
        <f>Q30-Q88</f>
        <v>666.6666666666666</v>
      </c>
      <c r="R6" s="51">
        <f>R30-R88</f>
        <v>666.6666666666666</v>
      </c>
      <c r="S6" s="51">
        <f>S30-S88</f>
        <v>666.6666666666666</v>
      </c>
      <c r="T6" s="51">
        <f>T30-T88</f>
        <v>666.6666666666666</v>
      </c>
      <c r="U6" s="51">
        <f>U30-U88</f>
        <v>666.6666666666666</v>
      </c>
      <c r="V6" s="51">
        <f>V30-V88</f>
        <v>666.6666666666666</v>
      </c>
      <c r="W6" s="51">
        <f>W30-W88</f>
        <v>666.6666666666666</v>
      </c>
      <c r="X6" s="51">
        <f>X30-X88</f>
        <v>-9333.333333333334</v>
      </c>
      <c r="Y6" s="51">
        <f>Y30-Y88</f>
        <v>666.6666666666666</v>
      </c>
      <c r="Z6" s="51">
        <f>SUMIF($B$13:$Y$13,"Yes",B6:Y6)</f>
        <v>-164333.3333333333</v>
      </c>
      <c r="AA6" s="51">
        <f>AA30-AA88</f>
        <v>-165000</v>
      </c>
      <c r="AB6" s="51">
        <f>AB30-AB88</f>
        <v>-177000.0000000001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20000</v>
      </c>
      <c r="C7" s="80">
        <f>IF(ISERROR(VLOOKUP(MONTH(C5),Inputs!$D$66:$D$71,1,0)),"",INDEX(Inputs!$B$66:$B$71,MATCH(MONTH(Output!C5),Inputs!$D$66:$D$71,0))-INDEX(Inputs!$C$66:$C$71,MATCH(MONTH(Output!C5),Inputs!$D$66:$D$71,0)))</f>
        <v>0</v>
      </c>
      <c r="D7" s="80">
        <f>IF(ISERROR(VLOOKUP(MONTH(D5),Inputs!$D$66:$D$71,1,0)),"",INDEX(Inputs!$B$66:$B$71,MATCH(MONTH(Output!D5),Inputs!$D$66:$D$71,0))-INDEX(Inputs!$C$66:$C$71,MATCH(MONTH(Output!D5),Inputs!$D$66:$D$71,0)))</f>
        <v>50000</v>
      </c>
      <c r="E7" s="80">
        <f>IF(ISERROR(VLOOKUP(MONTH(E5),Inputs!$D$66:$D$71,1,0)),"",INDEX(Inputs!$B$66:$B$71,MATCH(MONTH(Output!E5),Inputs!$D$66:$D$71,0))-INDEX(Inputs!$C$66:$C$71,MATCH(MONTH(Output!E5),Inputs!$D$66:$D$71,0)))</f>
        <v>70000</v>
      </c>
      <c r="F7" s="80">
        <f>IF(ISERROR(VLOOKUP(MONTH(F5),Inputs!$D$66:$D$71,1,0)),"",INDEX(Inputs!$B$66:$B$71,MATCH(MONTH(Output!F5),Inputs!$D$66:$D$71,0))-INDEX(Inputs!$C$66:$C$71,MATCH(MONTH(Output!F5),Inputs!$D$66:$D$71,0)))</f>
        <v>100000</v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>
        <f>IF(ISERROR(VLOOKUP(MONTH(M5),Inputs!$D$66:$D$71,1,0)),"",INDEX(Inputs!$B$66:$B$71,MATCH(MONTH(Output!M5),Inputs!$D$66:$D$71,0))-INDEX(Inputs!$C$66:$C$71,MATCH(MONTH(Output!M5),Inputs!$D$66:$D$71,0)))</f>
        <v>40000</v>
      </c>
      <c r="N7" s="80">
        <f>IF(ISERROR(VLOOKUP(MONTH(N5),Inputs!$D$66:$D$71,1,0)),"",INDEX(Inputs!$B$66:$B$71,MATCH(MONTH(Output!N5),Inputs!$D$66:$D$71,0))-INDEX(Inputs!$C$66:$C$71,MATCH(MONTH(Output!N5),Inputs!$D$66:$D$71,0)))</f>
        <v>20000</v>
      </c>
      <c r="O7" s="80">
        <f>IF(ISERROR(VLOOKUP(MONTH(O5),Inputs!$D$66:$D$71,1,0)),"",INDEX(Inputs!$B$66:$B$71,MATCH(MONTH(Output!O5),Inputs!$D$66:$D$71,0))-INDEX(Inputs!$C$66:$C$71,MATCH(MONTH(Output!O5),Inputs!$D$66:$D$71,0)))</f>
        <v>0</v>
      </c>
      <c r="P7" s="80">
        <f>IF(ISERROR(VLOOKUP(MONTH(P5),Inputs!$D$66:$D$71,1,0)),"",INDEX(Inputs!$B$66:$B$71,MATCH(MONTH(Output!P5),Inputs!$D$66:$D$71,0))-INDEX(Inputs!$C$66:$C$71,MATCH(MONTH(Output!P5),Inputs!$D$66:$D$71,0)))</f>
        <v>50000</v>
      </c>
      <c r="Q7" s="80">
        <f>IF(ISERROR(VLOOKUP(MONTH(Q5),Inputs!$D$66:$D$71,1,0)),"",INDEX(Inputs!$B$66:$B$71,MATCH(MONTH(Output!Q5),Inputs!$D$66:$D$71,0))-INDEX(Inputs!$C$66:$C$71,MATCH(MONTH(Output!Q5),Inputs!$D$66:$D$71,0)))</f>
        <v>70000</v>
      </c>
      <c r="R7" s="80">
        <f>IF(ISERROR(VLOOKUP(MONTH(R5),Inputs!$D$66:$D$71,1,0)),"",INDEX(Inputs!$B$66:$B$71,MATCH(MONTH(Output!R5),Inputs!$D$66:$D$71,0))-INDEX(Inputs!$C$66:$C$71,MATCH(MONTH(Output!R5),Inputs!$D$66:$D$71,0)))</f>
        <v>100000</v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>
        <f>IF(ISERROR(VLOOKUP(MONTH(Y5),Inputs!$D$66:$D$71,1,0)),"",INDEX(Inputs!$B$66:$B$71,MATCH(MONTH(Output!Y5),Inputs!$D$66:$D$71,0))-INDEX(Inputs!$C$66:$C$71,MATCH(MONTH(Output!Y5),Inputs!$D$66:$D$71,0)))</f>
        <v>40000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284509.5238095238</v>
      </c>
      <c r="C11" s="80">
        <f>C6+C9-C10</f>
        <v>-55490.47619047619</v>
      </c>
      <c r="D11" s="80">
        <f>D6+D9-D10</f>
        <v>-45490.47619047619</v>
      </c>
      <c r="E11" s="80">
        <f>E6+E9-E10</f>
        <v>-45490.47619047619</v>
      </c>
      <c r="F11" s="80">
        <f>F6+F9-F10</f>
        <v>-45490.47619047619</v>
      </c>
      <c r="G11" s="80">
        <f>G6+G9-G10</f>
        <v>-45490.47619047619</v>
      </c>
      <c r="H11" s="80">
        <f>H6+H9-H10</f>
        <v>-45490.47619047619</v>
      </c>
      <c r="I11" s="80">
        <f>I6+I9-I10</f>
        <v>-45490.47619047619</v>
      </c>
      <c r="J11" s="80">
        <f>J6+J9-J10</f>
        <v>-45490.47619047619</v>
      </c>
      <c r="K11" s="80">
        <f>K6+K9-K10</f>
        <v>-36919.04761904763</v>
      </c>
      <c r="L11" s="80">
        <f>L6+L9-L10</f>
        <v>-39333.33333333334</v>
      </c>
      <c r="M11" s="80">
        <f>M6+M9-M10</f>
        <v>-29333.33333333333</v>
      </c>
      <c r="N11" s="80">
        <f>N6+N9-N10</f>
        <v>-29333.33333333333</v>
      </c>
      <c r="O11" s="80">
        <f>O6+O9-O10</f>
        <v>-9333.333333333334</v>
      </c>
      <c r="P11" s="80">
        <f>P6+P9-P10</f>
        <v>666.6666666666666</v>
      </c>
      <c r="Q11" s="80">
        <f>Q6+Q9-Q10</f>
        <v>666.6666666666666</v>
      </c>
      <c r="R11" s="80">
        <f>R6+R9-R10</f>
        <v>666.6666666666666</v>
      </c>
      <c r="S11" s="80">
        <f>S6+S9-S10</f>
        <v>666.6666666666666</v>
      </c>
      <c r="T11" s="80">
        <f>T6+T9-T10</f>
        <v>666.6666666666666</v>
      </c>
      <c r="U11" s="80">
        <f>U6+U9-U10</f>
        <v>666.6666666666666</v>
      </c>
      <c r="V11" s="80">
        <f>V6+V9-V10</f>
        <v>666.6666666666666</v>
      </c>
      <c r="W11" s="80">
        <f>W6+W9-W10</f>
        <v>666.6666666666666</v>
      </c>
      <c r="X11" s="80">
        <f>X6+X9-X10</f>
        <v>-9333.333333333334</v>
      </c>
      <c r="Y11" s="80">
        <f>Y6+Y9-Y10</f>
        <v>666.6666666666666</v>
      </c>
      <c r="Z11" s="85">
        <f>SUMIF($B$13:$Y$13,"Yes",B11:Y11)</f>
        <v>-224333.3333333334</v>
      </c>
      <c r="AA11" s="80">
        <f>SUM(B11:M11)</f>
        <v>-195000</v>
      </c>
      <c r="AB11" s="46">
        <f>SUM(B11:Y11)</f>
        <v>-237000.0000000001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0.1158215979703644</v>
      </c>
      <c r="D12" s="82">
        <f>IF(D13="Yes",IF(SUM($B$10:D10)/(SUM($B$6:D6)+SUM($B$9:D9))&lt;0,999.99,SUM($B$10:D10)/(SUM($B$6:D6)+SUM($B$9:D9))),"")</f>
        <v>0.2463776617586672</v>
      </c>
      <c r="E12" s="82">
        <f>IF(E13="Yes",IF(SUM($B$10:E10)/(SUM($B$6:E6)+SUM($B$9:E9))&lt;0,999.99,SUM($B$10:E10)/(SUM($B$6:E6)+SUM($B$9:E9))),"")</f>
        <v>0.3946708987637821</v>
      </c>
      <c r="F12" s="82">
        <f>IF(F13="Yes",IF(SUM($B$10:F10)/(SUM($B$6:F6)+SUM($B$9:F9))&lt;0,999.99,SUM($B$10:F10)/(SUM($B$6:F6)+SUM($B$9:F9))),"")</f>
        <v>0.5645793659684104</v>
      </c>
      <c r="G12" s="82">
        <f>IF(G13="Yes",IF(SUM($B$10:G10)/(SUM($B$6:G6)+SUM($B$9:G9))&lt;0,999.99,SUM($B$10:G10)/(SUM($B$6:G6)+SUM($B$9:G9))),"")</f>
        <v>0.7612005219660721</v>
      </c>
      <c r="H12" s="82">
        <f>IF(H13="Yes",IF(SUM($B$10:H10)/(SUM($B$6:H6)+SUM($B$9:H9))&lt;0,999.99,SUM($B$10:H10)/(SUM($B$6:H6)+SUM($B$9:H9))),"")</f>
        <v>0.9913713970993207</v>
      </c>
      <c r="I12" s="82">
        <f>IF(I13="Yes",IF(SUM($B$10:I10)/(SUM($B$6:I6)+SUM($B$9:I9))&lt;0,999.99,SUM($B$10:I10)/(SUM($B$6:I6)+SUM($B$9:I9))),"")</f>
        <v>1.264479871544902</v>
      </c>
      <c r="J12" s="82">
        <f>IF(J13="Yes",IF(SUM($B$10:J10)/(SUM($B$6:J6)+SUM($B$9:J9))&lt;0,999.99,SUM($B$10:J10)/(SUM($B$6:J6)+SUM($B$9:J9))),"")</f>
        <v>1.593776681529266</v>
      </c>
      <c r="K12" s="82">
        <f>IF(K13="Yes",IF(SUM($B$10:K10)/(SUM($B$6:K6)+SUM($B$9:K9))&lt;0,999.99,SUM($B$10:K10)/(SUM($B$6:K6)+SUM($B$9:K9))),"")</f>
        <v>1.879350348027842</v>
      </c>
      <c r="L12" s="82">
        <f>IF(L13="Yes",IF(SUM($B$10:L10)/(SUM($B$6:L6)+SUM($B$9:L9))&lt;0,999.99,SUM($B$10:L10)/(SUM($B$6:L6)+SUM($B$9:L9))),"")</f>
        <v>2.233250620347394</v>
      </c>
      <c r="M12" s="82">
        <f>IF(M13="Yes",IF(SUM($B$10:M10)/(SUM($B$6:M6)+SUM($B$9:M9))&lt;0,999.99,SUM($B$10:M10)/(SUM($B$6:M6)+SUM($B$9:M9))),"")</f>
        <v>2.444444444444445</v>
      </c>
      <c r="N12" s="82">
        <f>IF(N13="Yes",IF(SUM($B$10:N10)/(SUM($B$6:N6)+SUM($B$9:N9))&lt;0,999.99,SUM($B$10:N10)/(SUM($B$6:N6)+SUM($B$9:N9))),"")</f>
        <v>2.653562653562654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10000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10000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10000</v>
      </c>
      <c r="AA36" s="36">
        <f>SUM(B36:M36)</f>
        <v>10000</v>
      </c>
      <c r="AB36" s="36">
        <f>SUM(B36:Y36)</f>
        <v>20000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8000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8000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2000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2000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10000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10000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10000</v>
      </c>
      <c r="AA72" s="46">
        <f>SUM(B72:M72)</f>
        <v>10000</v>
      </c>
      <c r="AB72" s="46">
        <f>SUM(B72:Y72)</f>
        <v>20000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-666.6666666666666</v>
      </c>
      <c r="C81" s="46">
        <f>(SUM($AA$18:$AA$29)-SUM($AA$36,$AA$42,$AA$48,$AA$54,$AA$60,$AA$66,$AA$72:$AA$79))*Parameters!$B$37/12</f>
        <v>-666.6666666666666</v>
      </c>
      <c r="D81" s="46">
        <f>(SUM($AA$18:$AA$29)-SUM($AA$36,$AA$42,$AA$48,$AA$54,$AA$60,$AA$66,$AA$72:$AA$79))*Parameters!$B$37/12</f>
        <v>-666.6666666666666</v>
      </c>
      <c r="E81" s="46">
        <f>(SUM($AA$18:$AA$29)-SUM($AA$36,$AA$42,$AA$48,$AA$54,$AA$60,$AA$66,$AA$72:$AA$79))*Parameters!$B$37/12</f>
        <v>-666.6666666666666</v>
      </c>
      <c r="F81" s="46">
        <f>(SUM($AA$18:$AA$29)-SUM($AA$36,$AA$42,$AA$48,$AA$54,$AA$60,$AA$66,$AA$72:$AA$79))*Parameters!$B$37/12</f>
        <v>-666.6666666666666</v>
      </c>
      <c r="G81" s="46">
        <f>(SUM($AA$18:$AA$29)-SUM($AA$36,$AA$42,$AA$48,$AA$54,$AA$60,$AA$66,$AA$72:$AA$79))*Parameters!$B$37/12</f>
        <v>-666.6666666666666</v>
      </c>
      <c r="H81" s="46">
        <f>(SUM($AA$18:$AA$29)-SUM($AA$36,$AA$42,$AA$48,$AA$54,$AA$60,$AA$66,$AA$72:$AA$79))*Parameters!$B$37/12</f>
        <v>-666.6666666666666</v>
      </c>
      <c r="I81" s="46">
        <f>(SUM($AA$18:$AA$29)-SUM($AA$36,$AA$42,$AA$48,$AA$54,$AA$60,$AA$66,$AA$72:$AA$79))*Parameters!$B$37/12</f>
        <v>-666.6666666666666</v>
      </c>
      <c r="J81" s="46">
        <f>(SUM($AA$18:$AA$29)-SUM($AA$36,$AA$42,$AA$48,$AA$54,$AA$60,$AA$66,$AA$72:$AA$79))*Parameters!$B$37/12</f>
        <v>-666.6666666666666</v>
      </c>
      <c r="K81" s="46">
        <f>(SUM($AA$18:$AA$29)-SUM($AA$36,$AA$42,$AA$48,$AA$54,$AA$60,$AA$66,$AA$72:$AA$79))*Parameters!$B$37/12</f>
        <v>-666.6666666666666</v>
      </c>
      <c r="L81" s="46">
        <f>(SUM($AA$18:$AA$29)-SUM($AA$36,$AA$42,$AA$48,$AA$54,$AA$60,$AA$66,$AA$72:$AA$79))*Parameters!$B$37/12</f>
        <v>-666.6666666666666</v>
      </c>
      <c r="M81" s="46">
        <f>(SUM($AA$18:$AA$29)-SUM($AA$36,$AA$42,$AA$48,$AA$54,$AA$60,$AA$66,$AA$72:$AA$79))*Parameters!$B$37/12</f>
        <v>-666.6666666666666</v>
      </c>
      <c r="N81" s="46">
        <f>(SUM($AA$18:$AA$29)-SUM($AA$36,$AA$42,$AA$48,$AA$54,$AA$60,$AA$66,$AA$72:$AA$79))*Parameters!$B$37/12</f>
        <v>-666.6666666666666</v>
      </c>
      <c r="O81" s="46">
        <f>(SUM($AA$18:$AA$29)-SUM($AA$36,$AA$42,$AA$48,$AA$54,$AA$60,$AA$66,$AA$72:$AA$79))*Parameters!$B$37/12</f>
        <v>-666.6666666666666</v>
      </c>
      <c r="P81" s="46">
        <f>(SUM($AA$18:$AA$29)-SUM($AA$36,$AA$42,$AA$48,$AA$54,$AA$60,$AA$66,$AA$72:$AA$79))*Parameters!$B$37/12</f>
        <v>-666.6666666666666</v>
      </c>
      <c r="Q81" s="46">
        <f>(SUM($AA$18:$AA$29)-SUM($AA$36,$AA$42,$AA$48,$AA$54,$AA$60,$AA$66,$AA$72:$AA$79))*Parameters!$B$37/12</f>
        <v>-666.6666666666666</v>
      </c>
      <c r="R81" s="46">
        <f>(SUM($AA$18:$AA$29)-SUM($AA$36,$AA$42,$AA$48,$AA$54,$AA$60,$AA$66,$AA$72:$AA$79))*Parameters!$B$37/12</f>
        <v>-666.6666666666666</v>
      </c>
      <c r="S81" s="46">
        <f>(SUM($AA$18:$AA$29)-SUM($AA$36,$AA$42,$AA$48,$AA$54,$AA$60,$AA$66,$AA$72:$AA$79))*Parameters!$B$37/12</f>
        <v>-666.6666666666666</v>
      </c>
      <c r="T81" s="46">
        <f>(SUM($AA$18:$AA$29)-SUM($AA$36,$AA$42,$AA$48,$AA$54,$AA$60,$AA$66,$AA$72:$AA$79))*Parameters!$B$37/12</f>
        <v>-666.6666666666666</v>
      </c>
      <c r="U81" s="46">
        <f>(SUM($AA$18:$AA$29)-SUM($AA$36,$AA$42,$AA$48,$AA$54,$AA$60,$AA$66,$AA$72:$AA$79))*Parameters!$B$37/12</f>
        <v>-666.6666666666666</v>
      </c>
      <c r="V81" s="46">
        <f>(SUM($AA$18:$AA$29)-SUM($AA$36,$AA$42,$AA$48,$AA$54,$AA$60,$AA$66,$AA$72:$AA$79))*Parameters!$B$37/12</f>
        <v>-666.6666666666666</v>
      </c>
      <c r="W81" s="46">
        <f>(SUM($AA$18:$AA$29)-SUM($AA$36,$AA$42,$AA$48,$AA$54,$AA$60,$AA$66,$AA$72:$AA$79))*Parameters!$B$37/12</f>
        <v>-666.6666666666666</v>
      </c>
      <c r="X81" s="46">
        <f>(SUM($AA$18:$AA$29)-SUM($AA$36,$AA$42,$AA$48,$AA$54,$AA$60,$AA$66,$AA$72:$AA$79))*Parameters!$B$37/12</f>
        <v>-666.6666666666666</v>
      </c>
      <c r="Y81" s="46">
        <f>(SUM($AA$18:$AA$29)-SUM($AA$36,$AA$42,$AA$48,$AA$54,$AA$60,$AA$66,$AA$72:$AA$79))*Parameters!$B$37/12</f>
        <v>-666.6666666666666</v>
      </c>
      <c r="Z81" s="46">
        <f>SUMIF($B$13:$Y$13,"Yes",B81:Y81)</f>
        <v>-8666.666666666668</v>
      </c>
      <c r="AA81" s="46">
        <f>SUM(B81:M81)</f>
        <v>-8000.000000000001</v>
      </c>
      <c r="AB81" s="46">
        <f>SUM(B81:Y81)</f>
        <v>-15999.99999999999</v>
      </c>
    </row>
    <row r="82" spans="1:30">
      <c r="A82" s="16" t="s">
        <v>52</v>
      </c>
      <c r="B82" s="46">
        <f>SUM(B83:B87)</f>
        <v>16157.14285714286</v>
      </c>
      <c r="C82" s="46">
        <f>SUM(C83:C87)</f>
        <v>16157.14285714286</v>
      </c>
      <c r="D82" s="46">
        <f>SUM(D83:D87)</f>
        <v>16157.14285714286</v>
      </c>
      <c r="E82" s="46">
        <f>SUM(E83:E87)</f>
        <v>16157.14285714286</v>
      </c>
      <c r="F82" s="46">
        <f>SUM(F83:F87)</f>
        <v>16157.14285714286</v>
      </c>
      <c r="G82" s="46">
        <f>SUM(G83:G87)</f>
        <v>16157.14285714286</v>
      </c>
      <c r="H82" s="46">
        <f>SUM(H83:H87)</f>
        <v>16157.14285714286</v>
      </c>
      <c r="I82" s="46">
        <f>SUM(I83:I87)</f>
        <v>16157.14285714286</v>
      </c>
      <c r="J82" s="46">
        <f>SUM(J83:J87)</f>
        <v>16157.14285714286</v>
      </c>
      <c r="K82" s="46">
        <f>SUM(K83:K87)</f>
        <v>7585.71428571429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153000</v>
      </c>
      <c r="AA82" s="46">
        <f>SUM(B82:M82)</f>
        <v>153000</v>
      </c>
      <c r="AB82" s="46">
        <f>SUM(B82:Y82)</f>
        <v>153000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16157.14285714286</v>
      </c>
      <c r="C83" s="46">
        <f>IF(Calculations!$E23&gt;COUNT(Output!$B$35:C$35),Calculations!$B23,IF(Calculations!$E23=COUNT(Output!$B$35:C$35),Inputs!$B56-Calculations!$C23*(Calculations!$E23-1)+Calculations!$D23,0))</f>
        <v>16157.14285714286</v>
      </c>
      <c r="D83" s="46">
        <f>IF(Calculations!$E23&gt;COUNT(Output!$B$35:D$35),Calculations!$B23,IF(Calculations!$E23=COUNT(Output!$B$35:D$35),Inputs!$B56-Calculations!$C23*(Calculations!$E23-1)+Calculations!$D23,0))</f>
        <v>16157.14285714286</v>
      </c>
      <c r="E83" s="46">
        <f>IF(Calculations!$E23&gt;COUNT(Output!$B$35:E$35),Calculations!$B23,IF(Calculations!$E23=COUNT(Output!$B$35:E$35),Inputs!$B56-Calculations!$C23*(Calculations!$E23-1)+Calculations!$D23,0))</f>
        <v>16157.14285714286</v>
      </c>
      <c r="F83" s="46">
        <f>IF(Calculations!$E23&gt;COUNT(Output!$B$35:F$35),Calculations!$B23,IF(Calculations!$E23=COUNT(Output!$B$35:F$35),Inputs!$B56-Calculations!$C23*(Calculations!$E23-1)+Calculations!$D23,0))</f>
        <v>16157.14285714286</v>
      </c>
      <c r="G83" s="46">
        <f>IF(Calculations!$E23&gt;COUNT(Output!$B$35:G$35),Calculations!$B23,IF(Calculations!$E23=COUNT(Output!$B$35:G$35),Inputs!$B56-Calculations!$C23*(Calculations!$E23-1)+Calculations!$D23,0))</f>
        <v>16157.14285714286</v>
      </c>
      <c r="H83" s="46">
        <f>IF(Calculations!$E23&gt;COUNT(Output!$B$35:H$35),Calculations!$B23,IF(Calculations!$E23=COUNT(Output!$B$35:H$35),Inputs!$B56-Calculations!$C23*(Calculations!$E23-1)+Calculations!$D23,0))</f>
        <v>16157.14285714286</v>
      </c>
      <c r="I83" s="46">
        <f>IF(Calculations!$E23&gt;COUNT(Output!$B$35:I$35),Calculations!$B23,IF(Calculations!$E23=COUNT(Output!$B$35:I$35),Inputs!$B56-Calculations!$C23*(Calculations!$E23-1)+Calculations!$D23,0))</f>
        <v>16157.14285714286</v>
      </c>
      <c r="J83" s="46">
        <f>IF(Calculations!$E23&gt;COUNT(Output!$B$35:J$35),Calculations!$B23,IF(Calculations!$E23=COUNT(Output!$B$35:J$35),Inputs!$B56-Calculations!$C23*(Calculations!$E23-1)+Calculations!$D23,0))</f>
        <v>16157.14285714286</v>
      </c>
      <c r="K83" s="46">
        <f>IF(Calculations!$E23&gt;COUNT(Output!$B$35:K$35),Calculations!$B23,IF(Calculations!$E23=COUNT(Output!$B$35:K$35),Inputs!$B56-Calculations!$C23*(Calculations!$E23-1)+Calculations!$D23,0))</f>
        <v>7585.71428571429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153000</v>
      </c>
      <c r="AA83" s="46">
        <f>SUM(B83:M83)</f>
        <v>153000</v>
      </c>
      <c r="AB83" s="46">
        <f>SUM(B83:Y83)</f>
        <v>153000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15490.47619047619</v>
      </c>
      <c r="C88" s="19">
        <f>SUM(C72:C82,C66,C60,C54,C48,C42,C36)</f>
        <v>25490.47619047619</v>
      </c>
      <c r="D88" s="19">
        <f>SUM(D72:D82,D66,D60,D54,D48,D42,D36)</f>
        <v>15490.47619047619</v>
      </c>
      <c r="E88" s="19">
        <f>SUM(E72:E82,E66,E60,E54,E48,E42,E36)</f>
        <v>15490.47619047619</v>
      </c>
      <c r="F88" s="19">
        <f>SUM(F72:F82,F66,F60,F54,F48,F42,F36)</f>
        <v>15490.47619047619</v>
      </c>
      <c r="G88" s="19">
        <f>SUM(G72:G82,G66,G60,G54,G48,G42,G36)</f>
        <v>15490.47619047619</v>
      </c>
      <c r="H88" s="19">
        <f>SUM(H72:H82,H66,H60,H54,H48,H42,H36)</f>
        <v>15490.47619047619</v>
      </c>
      <c r="I88" s="19">
        <f>SUM(I72:I82,I66,I60,I54,I48,I42,I36)</f>
        <v>15490.47619047619</v>
      </c>
      <c r="J88" s="19">
        <f>SUM(J72:J82,J66,J60,J54,J48,J42,J36)</f>
        <v>15490.47619047619</v>
      </c>
      <c r="K88" s="19">
        <f>SUM(K72:K82,K66,K60,K54,K48,K42,K36)</f>
        <v>6919.047619047623</v>
      </c>
      <c r="L88" s="19">
        <f>SUM(L72:L82,L66,L60,L54,L48,L42,L36)</f>
        <v>9333.333333333334</v>
      </c>
      <c r="M88" s="19">
        <f>SUM(M72:M82,M66,M60,M54,M48,M42,M36)</f>
        <v>-666.6666666666666</v>
      </c>
      <c r="N88" s="19">
        <f>SUM(N72:N82,N66,N60,N54,N48,N42,N36)</f>
        <v>-666.6666666666666</v>
      </c>
      <c r="O88" s="19">
        <f>SUM(O72:O82,O66,O60,O54,O48,O42,O36)</f>
        <v>9333.333333333334</v>
      </c>
      <c r="P88" s="19">
        <f>SUM(P72:P82,P66,P60,P54,P48,P42,P36)</f>
        <v>-666.6666666666666</v>
      </c>
      <c r="Q88" s="19">
        <f>SUM(Q72:Q82,Q66,Q60,Q54,Q48,Q42,Q36)</f>
        <v>-666.6666666666666</v>
      </c>
      <c r="R88" s="19">
        <f>SUM(R72:R82,R66,R60,R54,R48,R42,R36)</f>
        <v>-666.6666666666666</v>
      </c>
      <c r="S88" s="19">
        <f>SUM(S72:S82,S66,S60,S54,S48,S42,S36)</f>
        <v>-666.6666666666666</v>
      </c>
      <c r="T88" s="19">
        <f>SUM(T72:T82,T66,T60,T54,T48,T42,T36)</f>
        <v>-666.6666666666666</v>
      </c>
      <c r="U88" s="19">
        <f>SUM(U72:U82,U66,U60,U54,U48,U42,U36)</f>
        <v>-666.6666666666666</v>
      </c>
      <c r="V88" s="19">
        <f>SUM(V72:V82,V66,V60,V54,V48,V42,V36)</f>
        <v>-666.6666666666666</v>
      </c>
      <c r="W88" s="19">
        <f>SUM(W72:W82,W66,W60,W54,W48,W42,W36)</f>
        <v>-666.6666666666666</v>
      </c>
      <c r="X88" s="19">
        <f>SUM(X72:X82,X66,X60,X54,X48,X42,X36)</f>
        <v>9333.333333333334</v>
      </c>
      <c r="Y88" s="19">
        <f>SUM(Y72:Y82,Y66,Y60,Y54,Y48,Y42,Y36)</f>
        <v>-666.6666666666666</v>
      </c>
      <c r="Z88" s="19">
        <f>SUMIF($B$13:$Y$13,"Yes",B88:Y88)</f>
        <v>164333.3333333333</v>
      </c>
      <c r="AA88" s="19">
        <f>SUM(B88:M88)</f>
        <v>165000</v>
      </c>
      <c r="AB88" s="19">
        <f>SUM(B88:Y88)</f>
        <v>177000.0000000001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30000</v>
      </c>
    </row>
    <row r="99" spans="1:30">
      <c r="A99" t="s">
        <v>65</v>
      </c>
      <c r="B99" s="36">
        <f>Inputs!B46</f>
        <v>20000</v>
      </c>
    </row>
    <row r="100" spans="1:30" customHeight="1" ht="15.75">
      <c r="A100" s="18" t="s">
        <v>66</v>
      </c>
      <c r="B100" s="37">
        <f>Inputs!B48</f>
        <v>70000</v>
      </c>
    </row>
    <row r="101" spans="1:30" customHeight="1" ht="15.75">
      <c r="A101" s="1" t="s">
        <v>67</v>
      </c>
      <c r="B101" s="19">
        <f>SUM(B94:B100)</f>
        <v>420000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120000</v>
      </c>
    </row>
    <row r="105" spans="1:30">
      <c r="A105" t="s">
        <v>70</v>
      </c>
      <c r="B105" s="36">
        <f>SUM(Inputs!B56:B60)</f>
        <v>120000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540000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1</v>
      </c>
      <c r="P7" s="41"/>
    </row>
    <row r="8" spans="1:48">
      <c r="A8" s="143" t="s">
        <v>89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95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10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123</v>
      </c>
    </row>
    <row r="41" spans="1:48">
      <c r="A41" s="55" t="s">
        <v>124</v>
      </c>
      <c r="B41" s="140">
        <v>10000</v>
      </c>
    </row>
    <row r="42" spans="1:48">
      <c r="A42" s="55" t="s">
        <v>125</v>
      </c>
      <c r="B42" s="139" t="s">
        <v>126</v>
      </c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30000</v>
      </c>
    </row>
    <row r="46" spans="1:48" customHeight="1" ht="30">
      <c r="A46" s="57" t="s">
        <v>131</v>
      </c>
      <c r="B46" s="161">
        <v>20000</v>
      </c>
    </row>
    <row r="47" spans="1:48" customHeight="1" ht="30">
      <c r="A47" s="57" t="s">
        <v>132</v>
      </c>
      <c r="B47" s="161">
        <v>150000</v>
      </c>
    </row>
    <row r="48" spans="1:48" customHeight="1" ht="30">
      <c r="A48" s="57" t="s">
        <v>133</v>
      </c>
      <c r="B48" s="161">
        <v>70000</v>
      </c>
    </row>
    <row r="49" spans="1:48" customHeight="1" ht="30">
      <c r="A49" s="57" t="s">
        <v>134</v>
      </c>
      <c r="B49" s="161">
        <v>150000</v>
      </c>
    </row>
    <row r="50" spans="1:48">
      <c r="A50" s="43"/>
      <c r="B50" s="36"/>
    </row>
    <row r="51" spans="1:48">
      <c r="A51" s="58" t="s">
        <v>135</v>
      </c>
      <c r="B51" s="161">
        <v>120000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180000</v>
      </c>
      <c r="B56" s="159">
        <v>120000</v>
      </c>
      <c r="C56" s="162" t="s">
        <v>143</v>
      </c>
      <c r="D56" s="163" t="s">
        <v>144</v>
      </c>
      <c r="E56" s="163" t="s">
        <v>123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147</v>
      </c>
      <c r="C65" s="10" t="s">
        <v>148</v>
      </c>
    </row>
    <row r="66" spans="1:48">
      <c r="A66" s="142" t="s">
        <v>149</v>
      </c>
      <c r="B66" s="159">
        <v>50000</v>
      </c>
      <c r="C66" s="163">
        <v>10000</v>
      </c>
      <c r="D66" s="49">
        <f>INDEX(Parameters!$D$79:$D$90,MATCH(Inputs!A66,Parameters!$C$79:$C$90,0))</f>
        <v>1</v>
      </c>
    </row>
    <row r="67" spans="1:48">
      <c r="A67" s="143" t="s">
        <v>150</v>
      </c>
      <c r="B67" s="157">
        <v>40000</v>
      </c>
      <c r="C67" s="165">
        <v>20000</v>
      </c>
      <c r="D67" s="49">
        <f>INDEX(Parameters!$D$79:$D$90,MATCH(Inputs!A67,Parameters!$C$79:$C$90,0))</f>
        <v>2</v>
      </c>
    </row>
    <row r="68" spans="1:48">
      <c r="A68" s="143" t="s">
        <v>94</v>
      </c>
      <c r="B68" s="157">
        <v>30000</v>
      </c>
      <c r="C68" s="165">
        <v>30000</v>
      </c>
      <c r="D68" s="49">
        <f>INDEX(Parameters!$D$79:$D$90,MATCH(Inputs!A68,Parameters!$C$79:$C$90,0))</f>
        <v>3</v>
      </c>
    </row>
    <row r="69" spans="1:48">
      <c r="A69" s="143" t="s">
        <v>151</v>
      </c>
      <c r="B69" s="157">
        <v>80000</v>
      </c>
      <c r="C69" s="165">
        <v>30000</v>
      </c>
      <c r="D69" s="49">
        <f>INDEX(Parameters!$D$79:$D$90,MATCH(Inputs!A69,Parameters!$C$79:$C$90,0))</f>
        <v>4</v>
      </c>
    </row>
    <row r="70" spans="1:48">
      <c r="A70" s="143" t="s">
        <v>152</v>
      </c>
      <c r="B70" s="157">
        <v>80000</v>
      </c>
      <c r="C70" s="165">
        <v>10000</v>
      </c>
      <c r="D70" s="49">
        <f>INDEX(Parameters!$D$79:$D$90,MATCH(Inputs!A70,Parameters!$C$79:$C$90,0))</f>
        <v>5</v>
      </c>
    </row>
    <row r="71" spans="1:48">
      <c r="A71" s="144" t="s">
        <v>153</v>
      </c>
      <c r="B71" s="158">
        <v>120000</v>
      </c>
      <c r="C71" s="167">
        <v>20000</v>
      </c>
      <c r="D71" s="49">
        <f>INDEX(Parameters!$D$79:$D$90,MATCH(Inputs!A71,Parameters!$C$79:$C$90,0))</f>
        <v>6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4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300000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43160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24000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43160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6000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180000</v>
      </c>
      <c r="B23" s="75">
        <f>SUM(C23:D23)</f>
        <v>16157.14285714286</v>
      </c>
      <c r="C23" s="75">
        <f>IF(Inputs!B56&gt;0,(Inputs!A56-Inputs!B56)/(DATE(YEAR(Inputs!$B$76),MONTH(Inputs!$B$76),DAY(Inputs!$B$76))-DATE(YEAR(Inputs!C56),MONTH(Inputs!C56),DAY(Inputs!C56)))*30,0)</f>
        <v>12857.14285714286</v>
      </c>
      <c r="D23" s="75">
        <f>IF(Inputs!B56&gt;0,Inputs!A56*0.22/12,0)</f>
        <v>3300</v>
      </c>
      <c r="E23" s="75">
        <f>IFERROR(ROUNDUP(Inputs!B56/C23,0),0)</f>
        <v>10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43172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43160</v>
      </c>
      <c r="F33" t="s">
        <v>159</v>
      </c>
      <c r="G33" s="128">
        <f>IF(Inputs!B79="","",DATE(YEAR(Inputs!B79),MONTH(Inputs!B79),DAY(Inputs!B79)))</f>
        <v>43144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43203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43191</v>
      </c>
      <c r="F34" t="s">
        <v>160</v>
      </c>
      <c r="G34" s="128">
        <f>IF(Inputs!B80="","",DATE(YEAR(Inputs!B80),MONTH(Inputs!B80),DAY(Inputs!B80)))</f>
        <v>43172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43233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43221</v>
      </c>
      <c r="F35" t="s">
        <v>162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43264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43252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43294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43282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43325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43313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43356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43344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43386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43374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43417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43405</v>
      </c>
      <c r="F41" t="s">
        <v>226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43447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43435</v>
      </c>
      <c r="F42" t="s">
        <v>227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43478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43509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200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296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296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97</v>
      </c>
      <c r="B41" s="191" t="s">
        <v>123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314</v>
      </c>
      <c r="H52" s="12" t="s">
        <v>128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228</v>
      </c>
      <c r="E53" s="10" t="s">
        <v>187</v>
      </c>
      <c r="F53" s="10" t="s">
        <v>247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123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123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123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123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123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123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123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165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224</v>
      </c>
      <c r="J76" s="11" t="s">
        <v>348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123</v>
      </c>
      <c r="F77" s="12" t="s">
        <v>123</v>
      </c>
      <c r="G77" s="12" t="s">
        <v>350</v>
      </c>
      <c r="H77" s="12" t="s">
        <v>128</v>
      </c>
      <c r="I77" s="12" t="s">
        <v>351</v>
      </c>
      <c r="J77" s="136" t="s">
        <v>352</v>
      </c>
      <c r="K77" s="12" t="s">
        <v>123</v>
      </c>
      <c r="AJ77" s="12"/>
    </row>
    <row r="78" spans="1:36">
      <c r="A78" t="s">
        <v>123</v>
      </c>
      <c r="B78" s="176">
        <v>5</v>
      </c>
      <c r="C78" s="134" t="s">
        <v>353</v>
      </c>
      <c r="D78" s="133"/>
      <c r="E78" s="12" t="s">
        <v>354</v>
      </c>
      <c r="F78" s="12" t="s">
        <v>93</v>
      </c>
      <c r="G78" s="12" t="s">
        <v>355</v>
      </c>
      <c r="H78" s="12" t="s">
        <v>315</v>
      </c>
      <c r="I78" s="12" t="s">
        <v>356</v>
      </c>
      <c r="J78" s="70" t="s">
        <v>357</v>
      </c>
      <c r="K78" s="12" t="s">
        <v>123</v>
      </c>
      <c r="AJ78" s="12"/>
    </row>
    <row r="79" spans="1:36">
      <c r="B79" s="176">
        <v>10</v>
      </c>
      <c r="C79" s="12" t="s">
        <v>149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165</v>
      </c>
      <c r="J79" s="70" t="s">
        <v>361</v>
      </c>
      <c r="K79" s="12" t="s">
        <v>123</v>
      </c>
      <c r="AJ79" s="12"/>
    </row>
    <row r="80" spans="1:36">
      <c r="B80" s="176">
        <v>20</v>
      </c>
      <c r="C80" s="12" t="s">
        <v>150</v>
      </c>
      <c r="D80" s="12">
        <f>D79+1</f>
        <v>2</v>
      </c>
      <c r="E80" s="12" t="s">
        <v>91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126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