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<sst xmlns="http://schemas.openxmlformats.org/spreadsheetml/2006/main" uniqueCount="368">
  <si>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</si>
  <si>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</si>
  <si>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</si>
  <si>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</si>
  <si>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</si>
  <si>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</si>
  <si>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</si>
  <si>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</si>
  <si>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</si>
  <si>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</si>
  <si>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</si>
  <si>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</si>
  <si>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</si>
  <si>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</si>
  <si>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</si>
  <si>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</si>
  <si>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</si>
  <si>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</si>
  <si>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</si>
  <si>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</si>
  <si>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</si>
  <si>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</si>
  <si>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</si>
  <si>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</si>
  <si>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</si>
  <si>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</si>
  <si>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</si>
  <si>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</si>
  <si>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</si>
  <si>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</si>
  <si>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</si>
  <si>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</si>
  <si>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</si>
  <si>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</si>
  <si>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</si>
  <si>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</si>
  <si>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</si>
  <si>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</si>
  <si>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</si>
  <si>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</si>
  <si>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</si>
  <si>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</si>
  <si>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</si>
  <si>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</si>
  <si>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</si>
  <si>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</si>
  <si>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</si>
  <si>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</si>
  <si>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</si>
  <si>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</si>
  <si>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</si>
  <si>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</si>
  <si>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</si>
  <si>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</si>
  <si>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</si>
  <si>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</si>
  <si>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</si>
  <si>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</si>
  <si>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</si>
  <si>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</si>
  <si>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</si>
  <si>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</si>
  <si>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</si>
  <si>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</si>
  <si>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</si>
  <si>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</si>
  <si>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</si>
  <si>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</si>
  <si>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</si>
  <si>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</si>
  <si>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</si>
  <si>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</si>
  <si>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</si>
  <si>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</si>
  <si>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</si>
  <si>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</si>
  <si>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</si>
  <si>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</si>
  <si>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</si>
  <si>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</si>
  <si>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</si>
  <si>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</si>
  <si>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</si>
  <si>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</si>
  <si>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</si>
  <si>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</si>
  <si>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</si>
  <si>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</si>
  <si>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</si>
  <si>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</si>
  <si>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</si>
  <si>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</si>
  <si>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June</t>
  </si>
  <si>
    <t>Tomatoes</t>
  </si>
  <si>
    <t>March</t>
  </si>
  <si>
    <t>Maize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</si>
  <si>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</si>
  <si>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</si>
  <si>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</si>
  <si>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</si>
  <si>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</si>
  <si>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</si>
  <si>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</si>
  <si>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</si>
  <si>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</si>
  <si>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</si>
  <si>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</si>
  <si>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</si>
  <si>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</si>
  <si>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</si>
  <si>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</si>
  <si>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</si>
  <si>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</si>
  <si>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</si>
  <si>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</si>
  <si>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</si>
  <si>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</si>
  <si>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</si>
  <si>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</si>
  <si>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</si>
  <si>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</si>
  <si>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Timber selling</t>
  </si>
  <si>
    <t>sheep selling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</si>
  <si>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</si>
  <si>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</si>
  <si>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</si>
  <si>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</si>
  <si>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</si>
  <si>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</si>
  <si>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</si>
  <si>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</si>
  <si>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</si>
  <si>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</si>
  <si>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</si>
  <si>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</si>
  <si>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</si>
  <si>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</si>
  <si>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</si>
  <si>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</si>
  <si>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</si>
  <si>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</si>
  <si>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</si>
  <si>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</si>
  <si>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</si>
  <si>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</si>
  <si>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100%TRP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</si>
  <si>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</si>
  <si>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</si>
  <si>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</si>
  <si>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</si>
  <si>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</si>
  <si>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</si>
  <si>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</si>
  <si>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</si>
  <si>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</si>
  <si>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</si>
  <si>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</si>
  <si>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2018/2/14</t>
  </si>
  <si>
    <t>Loan terms</t>
  </si>
  <si>
    <t>Expected disbursement date</t>
  </si>
  <si>
    <t>Expected first repayment date</t>
  </si>
  <si>
    <t>2018/3/14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</si>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</sst>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Tomatoes,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13.49333333333333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0.2190721649484536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29333.33333333334</v>
      </c>
    </row>
    <row r="17" spans="1:7">
      <c r="B17" s="1" t="s">
        <v>11</v>
      </c>
      <c r="C17" s="36">
        <f>SUM(Output!B6:M6)</f>
        <v>-350000</v>
      </c>
    </row>
    <row r="18" spans="1:7">
      <c r="B18" s="1" t="s">
        <v>12</v>
      </c>
      <c r="C18" s="36">
        <f>MIN(Output!B6:M6)</f>
        <v>-350000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-350000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-350000</v>
      </c>
      <c r="AA6" s="51">
        <f>AA30-AA88</f>
        <v>-350000</v>
      </c>
      <c r="AB6" s="51">
        <f>AB30-AB88</f>
        <v>-350000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194500</v>
      </c>
      <c r="I7" s="80">
        <f>IF(ISERROR(VLOOKUP(MONTH(I5),Inputs!$D$66:$D$71,1,0)),"",INDEX(Inputs!$B$66:$B$71,MATCH(MONTH(Output!I5),Inputs!$D$66:$D$71,0))-INDEX(Inputs!$C$66:$C$71,MATCH(MONTH(Output!I5),Inputs!$D$66:$D$71,0)))</f>
        <v>253215</v>
      </c>
      <c r="J7" s="80">
        <f>IF(ISERROR(VLOOKUP(MONTH(J5),Inputs!$D$66:$D$71,1,0)),"",INDEX(Inputs!$B$66:$B$71,MATCH(MONTH(Output!J5),Inputs!$D$66:$D$71,0))-INDEX(Inputs!$C$66:$C$71,MATCH(MONTH(Output!J5),Inputs!$D$66:$D$71,0)))</f>
        <v>101696</v>
      </c>
      <c r="K7" s="80">
        <f>IF(ISERROR(VLOOKUP(MONTH(K5),Inputs!$D$66:$D$71,1,0)),"",INDEX(Inputs!$B$66:$B$71,MATCH(MONTH(Output!K5),Inputs!$D$66:$D$71,0))-INDEX(Inputs!$C$66:$C$71,MATCH(MONTH(Output!K5),Inputs!$D$66:$D$71,0)))</f>
        <v>50803</v>
      </c>
      <c r="L7" s="80">
        <f>IF(ISERROR(VLOOKUP(MONTH(L5),Inputs!$D$66:$D$71,1,0)),"",INDEX(Inputs!$B$66:$B$71,MATCH(MONTH(Output!L5),Inputs!$D$66:$D$71,0))-INDEX(Inputs!$C$66:$C$71,MATCH(MONTH(Output!L5),Inputs!$D$66:$D$71,0)))</f>
        <v>24941</v>
      </c>
      <c r="M7" s="80">
        <f>IF(ISERROR(VLOOKUP(MONTH(M5),Inputs!$D$66:$D$71,1,0)),"",INDEX(Inputs!$B$66:$B$71,MATCH(MONTH(Output!M5),Inputs!$D$66:$D$71,0))-INDEX(Inputs!$C$66:$C$71,MATCH(MONTH(Output!M5),Inputs!$D$66:$D$71,0)))</f>
        <v>51259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194500</v>
      </c>
      <c r="U7" s="80">
        <f>IF(ISERROR(VLOOKUP(MONTH(U5),Inputs!$D$66:$D$71,1,0)),"",INDEX(Inputs!$B$66:$B$71,MATCH(MONTH(Output!U5),Inputs!$D$66:$D$71,0))-INDEX(Inputs!$C$66:$C$71,MATCH(MONTH(Output!U5),Inputs!$D$66:$D$71,0)))</f>
        <v>253215</v>
      </c>
      <c r="V7" s="80">
        <f>IF(ISERROR(VLOOKUP(MONTH(V5),Inputs!$D$66:$D$71,1,0)),"",INDEX(Inputs!$B$66:$B$71,MATCH(MONTH(Output!V5),Inputs!$D$66:$D$71,0))-INDEX(Inputs!$C$66:$C$71,MATCH(MONTH(Output!V5),Inputs!$D$66:$D$71,0)))</f>
        <v>101696</v>
      </c>
      <c r="W7" s="80">
        <f>IF(ISERROR(VLOOKUP(MONTH(W5),Inputs!$D$66:$D$71,1,0)),"",INDEX(Inputs!$B$66:$B$71,MATCH(MONTH(Output!W5),Inputs!$D$66:$D$71,0))-INDEX(Inputs!$C$66:$C$71,MATCH(MONTH(Output!W5),Inputs!$D$66:$D$71,0)))</f>
        <v>50803</v>
      </c>
      <c r="X7" s="80">
        <f>IF(ISERROR(VLOOKUP(MONTH(X5),Inputs!$D$66:$D$71,1,0)),"",INDEX(Inputs!$B$66:$B$71,MATCH(MONTH(Output!X5),Inputs!$D$66:$D$71,0))-INDEX(Inputs!$C$66:$C$71,MATCH(MONTH(Output!X5),Inputs!$D$66:$D$71,0)))</f>
        <v>24941</v>
      </c>
      <c r="Y7" s="80">
        <f>IF(ISERROR(VLOOKUP(MONTH(Y5),Inputs!$D$66:$D$71,1,0)),"",INDEX(Inputs!$B$66:$B$71,MATCH(MONTH(Output!Y5),Inputs!$D$66:$D$71,0))-INDEX(Inputs!$C$66:$C$71,MATCH(MONTH(Output!Y5),Inputs!$D$66:$D$71,0)))</f>
        <v>51259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29333.33333333334</v>
      </c>
      <c r="D10" s="37">
        <f>SUMPRODUCT((Calculations!$D$33:$D$84=Output!D5)+0,Calculations!$C$33:$C$84)</f>
        <v>29333.33333333334</v>
      </c>
      <c r="E10" s="37">
        <f>SUMPRODUCT((Calculations!$D$33:$D$84=Output!E5)+0,Calculations!$C$33:$C$84)</f>
        <v>29333.33333333334</v>
      </c>
      <c r="F10" s="37">
        <f>SUMPRODUCT((Calculations!$D$33:$D$84=Output!F5)+0,Calculations!$C$33:$C$84)</f>
        <v>29333.33333333334</v>
      </c>
      <c r="G10" s="37">
        <f>SUMPRODUCT((Calculations!$D$33:$D$84=Output!G5)+0,Calculations!$C$33:$C$84)</f>
        <v>29333.33333333334</v>
      </c>
      <c r="H10" s="37">
        <f>SUMPRODUCT((Calculations!$D$33:$D$84=Output!H5)+0,Calculations!$C$33:$C$84)</f>
        <v>29333.33333333334</v>
      </c>
      <c r="I10" s="37">
        <f>SUMPRODUCT((Calculations!$D$33:$D$84=Output!I5)+0,Calculations!$C$33:$C$84)</f>
        <v>29333.33333333334</v>
      </c>
      <c r="J10" s="37">
        <f>SUMPRODUCT((Calculations!$D$33:$D$84=Output!J5)+0,Calculations!$C$33:$C$84)</f>
        <v>29333.33333333334</v>
      </c>
      <c r="K10" s="37">
        <f>SUMPRODUCT((Calculations!$D$33:$D$84=Output!K5)+0,Calculations!$C$33:$C$84)</f>
        <v>29333.33333333334</v>
      </c>
      <c r="L10" s="37">
        <f>SUMPRODUCT((Calculations!$D$33:$D$84=Output!L5)+0,Calculations!$C$33:$C$84)</f>
        <v>29333.33333333334</v>
      </c>
      <c r="M10" s="37">
        <f>SUMPRODUCT((Calculations!$D$33:$D$84=Output!M5)+0,Calculations!$C$33:$C$84)</f>
        <v>29333.33333333334</v>
      </c>
      <c r="N10" s="37">
        <f>SUMPRODUCT((Calculations!$D$33:$D$84=Output!N5)+0,Calculations!$C$33:$C$84)</f>
        <v>29333.33333333334</v>
      </c>
      <c r="O10" s="37">
        <f>SUMPRODUCT((Calculations!$D$33:$D$84=Output!O5)+0,Calculations!$C$33:$C$84)</f>
        <v>29333.33333333334</v>
      </c>
      <c r="P10" s="37">
        <f>SUMPRODUCT((Calculations!$D$33:$D$84=Output!P5)+0,Calculations!$C$33:$C$84)</f>
        <v>29333.33333333334</v>
      </c>
      <c r="Q10" s="37">
        <f>SUMPRODUCT((Calculations!$D$33:$D$84=Output!Q5)+0,Calculations!$C$33:$C$84)</f>
        <v>29333.33333333334</v>
      </c>
      <c r="R10" s="37">
        <f>SUMPRODUCT((Calculations!$D$33:$D$84=Output!R5)+0,Calculations!$C$33:$C$84)</f>
        <v>29333.33333333334</v>
      </c>
      <c r="S10" s="37">
        <f>SUMPRODUCT((Calculations!$D$33:$D$84=Output!S5)+0,Calculations!$C$33:$C$84)</f>
        <v>29333.33333333334</v>
      </c>
      <c r="T10" s="37">
        <f>SUMPRODUCT((Calculations!$D$33:$D$84=Output!T5)+0,Calculations!$C$33:$C$84)</f>
        <v>29333.33333333334</v>
      </c>
      <c r="U10" s="37">
        <f>SUMPRODUCT((Calculations!$D$33:$D$84=Output!U5)+0,Calculations!$C$33:$C$84)</f>
        <v>29333.33333333334</v>
      </c>
      <c r="V10" s="37">
        <f>SUMPRODUCT((Calculations!$D$33:$D$84=Output!V5)+0,Calculations!$C$33:$C$84)</f>
        <v>29333.33333333334</v>
      </c>
      <c r="W10" s="37">
        <f>SUMPRODUCT((Calculations!$D$33:$D$84=Output!W5)+0,Calculations!$C$33:$C$84)</f>
        <v>29333.33333333334</v>
      </c>
      <c r="X10" s="37">
        <f>SUMPRODUCT((Calculations!$D$33:$D$84=Output!X5)+0,Calculations!$C$33:$C$84)</f>
        <v>29333.33333333334</v>
      </c>
      <c r="Y10" s="37">
        <f>SUMPRODUCT((Calculations!$D$33:$D$84=Output!Y5)+0,Calculations!$C$33:$C$84)</f>
        <v>29333.33333333334</v>
      </c>
      <c r="Z10" s="37">
        <f>SUMIF($B$13:$Y$13,"Yes",B10:Y10)</f>
        <v>674666.6666666667</v>
      </c>
      <c r="AA10" s="37">
        <f>SUM(B10:M10)</f>
        <v>322666.6666666667</v>
      </c>
      <c r="AB10" s="37">
        <f>SUM(B10:Y10)</f>
        <v>674666.6666666667</v>
      </c>
    </row>
    <row r="11" spans="1:30" customHeight="1" ht="15.75">
      <c r="A11" s="43" t="s">
        <v>31</v>
      </c>
      <c r="B11" s="80">
        <f>B6+B9-B10</f>
        <v>400000</v>
      </c>
      <c r="C11" s="80">
        <f>C6+C9-C10</f>
        <v>-379333.3333333333</v>
      </c>
      <c r="D11" s="80">
        <f>D6+D9-D10</f>
        <v>-29333.33333333334</v>
      </c>
      <c r="E11" s="80">
        <f>E6+E9-E10</f>
        <v>-29333.33333333334</v>
      </c>
      <c r="F11" s="80">
        <f>F6+F9-F10</f>
        <v>-29333.33333333334</v>
      </c>
      <c r="G11" s="80">
        <f>G6+G9-G10</f>
        <v>-29333.33333333334</v>
      </c>
      <c r="H11" s="80">
        <f>H6+H9-H10</f>
        <v>-29333.33333333334</v>
      </c>
      <c r="I11" s="80">
        <f>I6+I9-I10</f>
        <v>-29333.33333333334</v>
      </c>
      <c r="J11" s="80">
        <f>J6+J9-J10</f>
        <v>-29333.33333333334</v>
      </c>
      <c r="K11" s="80">
        <f>K6+K9-K10</f>
        <v>-29333.33333333334</v>
      </c>
      <c r="L11" s="80">
        <f>L6+L9-L10</f>
        <v>-29333.33333333334</v>
      </c>
      <c r="M11" s="80">
        <f>M6+M9-M10</f>
        <v>-29333.33333333334</v>
      </c>
      <c r="N11" s="80">
        <f>N6+N9-N10</f>
        <v>-29333.33333333334</v>
      </c>
      <c r="O11" s="80">
        <f>O6+O9-O10</f>
        <v>-29333.33333333334</v>
      </c>
      <c r="P11" s="80">
        <f>P6+P9-P10</f>
        <v>-29333.33333333334</v>
      </c>
      <c r="Q11" s="80">
        <f>Q6+Q9-Q10</f>
        <v>-29333.33333333334</v>
      </c>
      <c r="R11" s="80">
        <f>R6+R9-R10</f>
        <v>-29333.33333333334</v>
      </c>
      <c r="S11" s="80">
        <f>S6+S9-S10</f>
        <v>-29333.33333333334</v>
      </c>
      <c r="T11" s="80">
        <f>T6+T9-T10</f>
        <v>-29333.33333333334</v>
      </c>
      <c r="U11" s="80">
        <f>U6+U9-U10</f>
        <v>-29333.33333333334</v>
      </c>
      <c r="V11" s="80">
        <f>V6+V9-V10</f>
        <v>-29333.33333333334</v>
      </c>
      <c r="W11" s="80">
        <f>W6+W9-W10</f>
        <v>-29333.33333333334</v>
      </c>
      <c r="X11" s="80">
        <f>X6+X9-X10</f>
        <v>-29333.33333333334</v>
      </c>
      <c r="Y11" s="80">
        <f>Y6+Y9-Y10</f>
        <v>-29333.33333333334</v>
      </c>
      <c r="Z11" s="85">
        <f>SUMIF($B$13:$Y$13,"Yes",B11:Y11)</f>
        <v>-624666.6666666666</v>
      </c>
      <c r="AA11" s="80">
        <f>SUM(B11:M11)</f>
        <v>-272666.6666666667</v>
      </c>
      <c r="AB11" s="46">
        <f>SUM(B11:Y11)</f>
        <v>-624666.6666666666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0.5866666666666667</v>
      </c>
      <c r="D12" s="82">
        <f>IF(D13="Yes",IF(SUM($B$10:D10)/(SUM($B$6:D6)+SUM($B$9:D9))&lt;0,999.99,SUM($B$10:D10)/(SUM($B$6:D6)+SUM($B$9:D9))),"")</f>
        <v>1.173333333333333</v>
      </c>
      <c r="E12" s="82">
        <f>IF(E13="Yes",IF(SUM($B$10:E10)/(SUM($B$6:E6)+SUM($B$9:E9))&lt;0,999.99,SUM($B$10:E10)/(SUM($B$6:E6)+SUM($B$9:E9))),"")</f>
        <v>1.76</v>
      </c>
      <c r="F12" s="82">
        <f>IF(F13="Yes",IF(SUM($B$10:F10)/(SUM($B$6:F6)+SUM($B$9:F9))&lt;0,999.99,SUM($B$10:F10)/(SUM($B$6:F6)+SUM($B$9:F9))),"")</f>
        <v>2.346666666666667</v>
      </c>
      <c r="G12" s="82">
        <f>IF(G13="Yes",IF(SUM($B$10:G10)/(SUM($B$6:G6)+SUM($B$9:G9))&lt;0,999.99,SUM($B$10:G10)/(SUM($B$6:G6)+SUM($B$9:G9))),"")</f>
        <v>2.933333333333334</v>
      </c>
      <c r="H12" s="82">
        <f>IF(H13="Yes",IF(SUM($B$10:H10)/(SUM($B$6:H6)+SUM($B$9:H9))&lt;0,999.99,SUM($B$10:H10)/(SUM($B$6:H6)+SUM($B$9:H9))),"")</f>
        <v>3.52</v>
      </c>
      <c r="I12" s="82">
        <f>IF(I13="Yes",IF(SUM($B$10:I10)/(SUM($B$6:I6)+SUM($B$9:I9))&lt;0,999.99,SUM($B$10:I10)/(SUM($B$6:I6)+SUM($B$9:I9))),"")</f>
        <v>4.106666666666667</v>
      </c>
      <c r="J12" s="82">
        <f>IF(J13="Yes",IF(SUM($B$10:J10)/(SUM($B$6:J6)+SUM($B$9:J9))&lt;0,999.99,SUM($B$10:J10)/(SUM($B$6:J6)+SUM($B$9:J9))),"")</f>
        <v>4.693333333333334</v>
      </c>
      <c r="K12" s="82">
        <f>IF(K13="Yes",IF(SUM($B$10:K10)/(SUM($B$6:K6)+SUM($B$9:K9))&lt;0,999.99,SUM($B$10:K10)/(SUM($B$6:K6)+SUM($B$9:K9))),"")</f>
        <v>5.280000000000001</v>
      </c>
      <c r="L12" s="82">
        <f>IF(L13="Yes",IF(SUM($B$10:L10)/(SUM($B$6:L6)+SUM($B$9:L9))&lt;0,999.99,SUM($B$10:L10)/(SUM($B$6:L6)+SUM($B$9:L9))),"")</f>
        <v>5.866666666666667</v>
      </c>
      <c r="M12" s="82">
        <f>IF(M13="Yes",IF(SUM($B$10:M10)/(SUM($B$6:M6)+SUM($B$9:M9))&lt;0,999.99,SUM($B$10:M10)/(SUM($B$6:M6)+SUM($B$9:M9))),"")</f>
        <v>6.453333333333334</v>
      </c>
      <c r="N12" s="82">
        <f>IF(N13="Yes",IF(SUM($B$10:N10)/(SUM($B$6:N6)+SUM($B$9:N9))&lt;0,999.99,SUM($B$10:N10)/(SUM($B$6:N6)+SUM($B$9:N9))),"")</f>
        <v>7.04</v>
      </c>
      <c r="O12" s="82">
        <f>IF(O13="Yes",IF(SUM($B$10:O10)/(SUM($B$6:O6)+SUM($B$9:O9))&lt;0,999.99,SUM($B$10:O10)/(SUM($B$6:O6)+SUM($B$9:O9))),"")</f>
        <v>7.626666666666666</v>
      </c>
      <c r="P12" s="82">
        <f>IF(P13="Yes",IF(SUM($B$10:P10)/(SUM($B$6:P6)+SUM($B$9:P9))&lt;0,999.99,SUM($B$10:P10)/(SUM($B$6:P6)+SUM($B$9:P9))),"")</f>
        <v>8.213333333333333</v>
      </c>
      <c r="Q12" s="82">
        <f>IF(Q13="Yes",IF(SUM($B$10:Q10)/(SUM($B$6:Q6)+SUM($B$9:Q9))&lt;0,999.99,SUM($B$10:Q10)/(SUM($B$6:Q6)+SUM($B$9:Q9))),"")</f>
        <v>8.799999999999999</v>
      </c>
      <c r="R12" s="82">
        <f>IF(R13="Yes",IF(SUM($B$10:R10)/(SUM($B$6:R6)+SUM($B$9:R9))&lt;0,999.99,SUM($B$10:R10)/(SUM($B$6:R6)+SUM($B$9:R9))),"")</f>
        <v>9.386666666666665</v>
      </c>
      <c r="S12" s="82">
        <f>IF(S13="Yes",IF(SUM($B$10:S10)/(SUM($B$6:S6)+SUM($B$9:S9))&lt;0,999.99,SUM($B$10:S10)/(SUM($B$6:S6)+SUM($B$9:S9))),"")</f>
        <v>9.973333333333331</v>
      </c>
      <c r="T12" s="82">
        <f>IF(T13="Yes",IF(SUM($B$10:T10)/(SUM($B$6:T6)+SUM($B$9:T9))&lt;0,999.99,SUM($B$10:T10)/(SUM($B$6:T6)+SUM($B$9:T9))),"")</f>
        <v>10.56</v>
      </c>
      <c r="U12" s="82">
        <f>IF(U13="Yes",IF(SUM($B$10:U10)/(SUM($B$6:U6)+SUM($B$9:U9))&lt;0,999.99,SUM($B$10:U10)/(SUM($B$6:U6)+SUM($B$9:U9))),"")</f>
        <v>11.14666666666666</v>
      </c>
      <c r="V12" s="82">
        <f>IF(V13="Yes",IF(SUM($B$10:V10)/(SUM($B$6:V6)+SUM($B$9:V9))&lt;0,999.99,SUM($B$10:V10)/(SUM($B$6:V6)+SUM($B$9:V9))),"")</f>
        <v>11.73333333333333</v>
      </c>
      <c r="W12" s="82">
        <f>IF(W13="Yes",IF(SUM($B$10:W10)/(SUM($B$6:W6)+SUM($B$9:W9))&lt;0,999.99,SUM($B$10:W10)/(SUM($B$6:W6)+SUM($B$9:W9))),"")</f>
        <v>12.32</v>
      </c>
      <c r="X12" s="82">
        <f>IF(X13="Yes",IF(SUM($B$10:X10)/(SUM($B$6:X6)+SUM($B$9:X9))&lt;0,999.99,SUM($B$10:X10)/(SUM($B$6:X6)+SUM($B$9:X9))),"")</f>
        <v>12.90666666666667</v>
      </c>
      <c r="Y12" s="82">
        <f>IF(Y13="Yes",IF(SUM($B$10:Y10)/(SUM($B$6:Y6)+SUM($B$9:Y9))&lt;0,999.99,SUM($B$10:Y10)/(SUM($B$6:Y6)+SUM($B$9:Y9))),"")</f>
        <v>13.49333333333333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350000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350000</v>
      </c>
      <c r="AA80" s="46">
        <f>SUM(B80:M80)</f>
        <v>350000</v>
      </c>
      <c r="AB80" s="46">
        <f>SUM(B80:Y80)</f>
        <v>350000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350000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350000</v>
      </c>
      <c r="AA88" s="19">
        <f>SUM(B88:M88)</f>
        <v>350000</v>
      </c>
      <c r="AB88" s="19">
        <f>SUM(B88:Y88)</f>
        <v>350000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680000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360000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1940000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93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91</v>
      </c>
      <c r="J9" s="148" t="s">
        <v>96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150000</v>
      </c>
      <c r="C35" s="145" t="s">
        <v>94</v>
      </c>
      <c r="D35" s="49">
        <f>IFERROR(VLOOKUP(C35,Parameters!$C$79:$D$90,2,0),"")</f>
        <v>3</v>
      </c>
    </row>
    <row r="36" spans="1:48">
      <c r="A36" s="144" t="s">
        <v>122</v>
      </c>
      <c r="B36" s="158">
        <v>200000</v>
      </c>
      <c r="C36" s="150" t="s">
        <v>94</v>
      </c>
      <c r="D36" s="49">
        <f>IFERROR(VLOOKUP(C36,Parameters!$C$79:$D$90,2,0),"")</f>
        <v>3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125</v>
      </c>
    </row>
    <row r="45" spans="1:48">
      <c r="A45" s="56" t="s">
        <v>131</v>
      </c>
      <c r="B45" s="161">
        <v>0</v>
      </c>
    </row>
    <row r="46" spans="1:48" customHeight="1" ht="30">
      <c r="A46" s="57" t="s">
        <v>132</v>
      </c>
      <c r="B46" s="161">
        <v>360000</v>
      </c>
    </row>
    <row r="47" spans="1:48" customHeight="1" ht="30">
      <c r="A47" s="57" t="s">
        <v>133</v>
      </c>
      <c r="B47" s="161">
        <v>550000</v>
      </c>
    </row>
    <row r="48" spans="1:48" customHeight="1" ht="30">
      <c r="A48" s="57" t="s">
        <v>134</v>
      </c>
      <c r="B48" s="161">
        <v>350000</v>
      </c>
    </row>
    <row r="49" spans="1:48" customHeight="1" ht="30">
      <c r="A49" s="57" t="s">
        <v>135</v>
      </c>
      <c r="B49" s="161">
        <v>680000</v>
      </c>
    </row>
    <row r="50" spans="1:48">
      <c r="A50" s="43"/>
      <c r="B50" s="36"/>
    </row>
    <row r="51" spans="1:48">
      <c r="A51" s="58" t="s">
        <v>136</v>
      </c>
      <c r="B51" s="161">
        <v>25000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300000</v>
      </c>
      <c r="B56" s="159">
        <v>0</v>
      </c>
      <c r="C56" s="162" t="s">
        <v>144</v>
      </c>
      <c r="D56" s="163"/>
      <c r="E56" s="163" t="s">
        <v>125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147</v>
      </c>
      <c r="C65" s="10" t="s">
        <v>148</v>
      </c>
    </row>
    <row r="66" spans="1:48">
      <c r="A66" s="142" t="s">
        <v>96</v>
      </c>
      <c r="B66" s="159">
        <v>404500</v>
      </c>
      <c r="C66" s="163">
        <v>210000</v>
      </c>
      <c r="D66" s="49">
        <f>INDEX(Parameters!$D$79:$D$90,MATCH(Inputs!A66,Parameters!$C$79:$C$90,0))</f>
        <v>8</v>
      </c>
    </row>
    <row r="67" spans="1:48">
      <c r="A67" s="143" t="s">
        <v>149</v>
      </c>
      <c r="B67" s="157">
        <v>458625</v>
      </c>
      <c r="C67" s="165">
        <v>205410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300258</v>
      </c>
      <c r="C68" s="165">
        <v>198562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267803</v>
      </c>
      <c r="C69" s="165">
        <v>217000</v>
      </c>
      <c r="D69" s="49">
        <f>INDEX(Parameters!$D$79:$D$90,MATCH(Inputs!A69,Parameters!$C$79:$C$90,0))</f>
        <v>11</v>
      </c>
    </row>
    <row r="70" spans="1:48">
      <c r="A70" s="143" t="s">
        <v>152</v>
      </c>
      <c r="B70" s="157">
        <v>230341</v>
      </c>
      <c r="C70" s="165">
        <v>205400</v>
      </c>
      <c r="D70" s="49">
        <f>INDEX(Parameters!$D$79:$D$90,MATCH(Inputs!A70,Parameters!$C$79:$C$90,0))</f>
        <v>12</v>
      </c>
    </row>
    <row r="71" spans="1:48">
      <c r="A71" s="144" t="s">
        <v>153</v>
      </c>
      <c r="B71" s="158">
        <v>366259</v>
      </c>
      <c r="C71" s="167">
        <v>315000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10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400000</v>
      </c>
    </row>
    <row r="82" spans="1:48">
      <c r="A82" t="s">
        <v>163</v>
      </c>
      <c r="B82" s="161">
        <v>38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43252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5816.592320000001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43252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43435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289.8945313359586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43313</v>
      </c>
      <c r="C6" s="39">
        <f>IFERROR(DATE(YEAR(B6),MONTH(B6)+ROUND(T6/2,0),DAY(B6)),B6)</f>
        <v>43374</v>
      </c>
      <c r="D6" s="39">
        <f>IFERROR(DATE(YEAR(B6),MONTH(B6)+T6,DAY(B6)),"")</f>
        <v>43435</v>
      </c>
      <c r="E6" s="39">
        <f>IFERROR(IF($S6=0,"",IF($S6=2,DATE(YEAR(B6),MONTH(B6)+6,DAY(B6)),IF($S6=1,B6,""))),"")</f>
        <v>43497</v>
      </c>
      <c r="F6" s="39">
        <f>IFERROR(IF($S6=0,"",IF($S6=2,DATE(YEAR(C6),MONTH(C6)+6,DAY(C6)),IF($S6=1,C6,""))),"")</f>
        <v>43556</v>
      </c>
      <c r="G6" s="39">
        <f>IFERROR(IF($S6=0,"",IF($S6=2,DATE(YEAR(D6),MONTH(D6)+6,DAY(D6)),IF($S6=1,D6,""))),"")</f>
        <v>43617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752.7045421367818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43173</v>
      </c>
      <c r="C33" s="27">
        <f>IF(B33&lt;&gt;"",IF(COUNT($A$33:A33)&lt;=$G$39,0,$G$41)+IF(COUNT($A$33:A33)&lt;=$G$40,0,$G$42),0)</f>
        <v>29333.33333333334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43204</v>
      </c>
      <c r="C34" s="27">
        <f>IF(B34&lt;&gt;"",IF(COUNT($A$33:A34)&lt;=$G$39,0,$G$41)+IF(COUNT($A$33:A34)&lt;=$G$40,0,$G$42),0)</f>
        <v>29333.33333333334</v>
      </c>
      <c r="D34" s="170">
        <f>IFERROR(DATE(YEAR(B34),MONTH(B34),1)," ")</f>
        <v>43191</v>
      </c>
      <c r="F34" t="s">
        <v>160</v>
      </c>
      <c r="G34" s="128">
        <f>IF(Inputs!B80="","",DATE(YEAR(Inputs!B80),MONTH(Inputs!B80),DAY(Inputs!B80)))</f>
        <v>43173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43234</v>
      </c>
      <c r="C35" s="27">
        <f>IF(B35&lt;&gt;"",IF(COUNT($A$33:A35)&lt;=$G$39,0,$G$41)+IF(COUNT($A$33:A35)&lt;=$G$40,0,$G$42),0)</f>
        <v>29333.33333333334</v>
      </c>
      <c r="D35" s="170">
        <f>IFERROR(DATE(YEAR(B35),MONTH(B35),1)," ")</f>
        <v>43221</v>
      </c>
      <c r="F35" t="s">
        <v>162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43265</v>
      </c>
      <c r="C36" s="27">
        <f>IF(B36&lt;&gt;"",IF(COUNT($A$33:A36)&lt;=$G$39,0,$G$41)+IF(COUNT($A$33:A36)&lt;=$G$40,0,$G$42),0)</f>
        <v>29333.33333333334</v>
      </c>
      <c r="D36" s="170">
        <f>IFERROR(DATE(YEAR(B36),MONTH(B36),1)," ")</f>
        <v>43252</v>
      </c>
      <c r="F36" t="s">
        <v>163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43295</v>
      </c>
      <c r="C37" s="27">
        <f>IF(B37&lt;&gt;"",IF(COUNT($A$33:A37)&lt;=$G$39,0,$G$41)+IF(COUNT($A$33:A37)&lt;=$G$40,0,$G$42),0)</f>
        <v>29333.33333333334</v>
      </c>
      <c r="D37" s="170">
        <f>IFERROR(DATE(YEAR(B37),MONTH(B37),1)," ")</f>
        <v>43282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43326</v>
      </c>
      <c r="C38" s="27">
        <f>IF(B38&lt;&gt;"",IF(COUNT($A$33:A38)&lt;=$G$39,0,$G$41)+IF(COUNT($A$33:A38)&lt;=$G$40,0,$G$42),0)</f>
        <v>29333.33333333334</v>
      </c>
      <c r="D38" s="170">
        <f>IFERROR(DATE(YEAR(B38),MONTH(B38),1)," ")</f>
        <v>43313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43357</v>
      </c>
      <c r="C39" s="27">
        <f>IF(B39&lt;&gt;"",IF(COUNT($A$33:A39)&lt;=$G$39,0,$G$41)+IF(COUNT($A$33:A39)&lt;=$G$40,0,$G$42),0)</f>
        <v>29333.33333333334</v>
      </c>
      <c r="D39" s="170">
        <f>IFERROR(DATE(YEAR(B39),MONTH(B39),1)," ")</f>
        <v>43344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43387</v>
      </c>
      <c r="C40" s="27">
        <f>IF(B40&lt;&gt;"",IF(COUNT($A$33:A40)&lt;=$G$39,0,$G$41)+IF(COUNT($A$33:A40)&lt;=$G$40,0,$G$42),0)</f>
        <v>29333.33333333334</v>
      </c>
      <c r="D40" s="170">
        <f>IFERROR(DATE(YEAR(B40),MONTH(B40),1)," ")</f>
        <v>43374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43418</v>
      </c>
      <c r="C41" s="27">
        <f>IF(B41&lt;&gt;"",IF(COUNT($A$33:A41)&lt;=$G$39,0,$G$41)+IF(COUNT($A$33:A41)&lt;=$G$40,0,$G$42),0)</f>
        <v>29333.33333333334</v>
      </c>
      <c r="D41" s="170">
        <f>IFERROR(DATE(YEAR(B41),MONTH(B41),1)," ")</f>
        <v>43405</v>
      </c>
      <c r="F41" t="s">
        <v>226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43448</v>
      </c>
      <c r="C42" s="27">
        <f>IF(B42&lt;&gt;"",IF(COUNT($A$33:A42)&lt;=$G$39,0,$G$41)+IF(COUNT($A$33:A42)&lt;=$G$40,0,$G$42),0)</f>
        <v>29333.33333333334</v>
      </c>
      <c r="D42" s="170">
        <f>IFERROR(DATE(YEAR(B42),MONTH(B42),1)," ")</f>
        <v>43435</v>
      </c>
      <c r="F42" t="s">
        <v>227</v>
      </c>
      <c r="G42" s="73">
        <f>IFERROR(G35*G36*IF(G37="Monthly",G38/12,IF(G37="Fortnightly",G38/(365/14),G38/(365/28)))/(G38-G40),"")</f>
        <v>12666.66666666667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43479</v>
      </c>
      <c r="C43" s="27">
        <f>IF(B43&lt;&gt;"",IF(COUNT($A$33:A43)&lt;=$G$39,0,$G$41)+IF(COUNT($A$33:A43)&lt;=$G$40,0,$G$42),0)</f>
        <v>29333.33333333334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43510</v>
      </c>
      <c r="C44" s="27">
        <f>IF(B44&lt;&gt;"",IF(COUNT($A$33:A44)&lt;=$G$39,0,$G$41)+IF(COUNT($A$33:A44)&lt;=$G$40,0,$G$42),0)</f>
        <v>29333.33333333334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43538</v>
      </c>
      <c r="C45" s="27">
        <f>IF(B45&lt;&gt;"",IF(COUNT($A$33:A45)&lt;=$G$39,0,$G$41)+IF(COUNT($A$33:A45)&lt;=$G$40,0,$G$42),0)</f>
        <v>29333.33333333334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43569</v>
      </c>
      <c r="C46" s="27">
        <f>IF(B46&lt;&gt;"",IF(COUNT($A$33:A46)&lt;=$G$39,0,$G$41)+IF(COUNT($A$33:A46)&lt;=$G$40,0,$G$42),0)</f>
        <v>29333.33333333334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43599</v>
      </c>
      <c r="C47" s="27">
        <f>IF(B47&lt;&gt;"",IF(COUNT($A$33:A47)&lt;=$G$39,0,$G$41)+IF(COUNT($A$33:A47)&lt;=$G$40,0,$G$42),0)</f>
        <v>29333.33333333334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43630</v>
      </c>
      <c r="C48" s="27">
        <f>IF(B48&lt;&gt;"",IF(COUNT($A$33:A48)&lt;=$G$39,0,$G$41)+IF(COUNT($A$33:A48)&lt;=$G$40,0,$G$42),0)</f>
        <v>29333.33333333334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43660</v>
      </c>
      <c r="C49" s="27">
        <f>IF(B49&lt;&gt;"",IF(COUNT($A$33:A49)&lt;=$G$39,0,$G$41)+IF(COUNT($A$33:A49)&lt;=$G$40,0,$G$42),0)</f>
        <v>29333.33333333334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43691</v>
      </c>
      <c r="C50" s="27">
        <f>IF(B50&lt;&gt;"",IF(COUNT($A$33:A50)&lt;=$G$39,0,$G$41)+IF(COUNT($A$33:A50)&lt;=$G$40,0,$G$42),0)</f>
        <v>29333.33333333334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43722</v>
      </c>
      <c r="C51" s="27">
        <f>IF(B51&lt;&gt;"",IF(COUNT($A$33:A51)&lt;=$G$39,0,$G$41)+IF(COUNT($A$33:A51)&lt;=$G$40,0,$G$42),0)</f>
        <v>29333.33333333334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43752</v>
      </c>
      <c r="C52" s="27">
        <f>IF(B52&lt;&gt;"",IF(COUNT($A$33:A52)&lt;=$G$39,0,$G$41)+IF(COUNT($A$33:A52)&lt;=$G$40,0,$G$42),0)</f>
        <v>29333.33333333334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43783</v>
      </c>
      <c r="C53" s="27">
        <f>IF(B53&lt;&gt;"",IF(COUNT($A$33:A53)&lt;=$G$39,0,$G$41)+IF(COUNT($A$33:A53)&lt;=$G$40,0,$G$42),0)</f>
        <v>29333.33333333334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43813</v>
      </c>
      <c r="C54" s="27">
        <f>IF(B54&lt;&gt;"",IF(COUNT($A$33:A54)&lt;=$G$39,0,$G$41)+IF(COUNT($A$33:A54)&lt;=$G$40,0,$G$42),0)</f>
        <v>29333.33333333334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43844</v>
      </c>
      <c r="C55" s="27">
        <f>IF(B55&lt;&gt;"",IF(COUNT($A$33:A55)&lt;=$G$39,0,$G$41)+IF(COUNT($A$33:A55)&lt;=$G$40,0,$G$42),0)</f>
        <v>29333.33333333334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43875</v>
      </c>
      <c r="C56" s="27">
        <f>IF(B56&lt;&gt;"",IF(COUNT($A$33:A56)&lt;=$G$39,0,$G$41)+IF(COUNT($A$33:A56)&lt;=$G$40,0,$G$42),0)</f>
        <v>29333.33333333334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91</v>
      </c>
      <c r="C41" s="191" t="s">
        <v>125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125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125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125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125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125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125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125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125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125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125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125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125</v>
      </c>
      <c r="B77" s="176">
        <v>0</v>
      </c>
      <c r="C77" s="12" t="s">
        <v>347</v>
      </c>
      <c r="E77" s="12" t="s">
        <v>91</v>
      </c>
      <c r="F77" s="12" t="s">
        <v>91</v>
      </c>
      <c r="G77" s="12" t="s">
        <v>348</v>
      </c>
      <c r="H77" s="12" t="s">
        <v>129</v>
      </c>
      <c r="I77" s="12" t="s">
        <v>349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91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359</v>
      </c>
      <c r="K79" s="12" t="s">
        <v>91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125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125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92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