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<sst xmlns="http://schemas.openxmlformats.org/spreadsheetml/2006/main" uniqueCount="371">
  <si>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</si>
  <si>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</si>
  <si>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</si>
  <si>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</si>
  <si>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</si>
  <si>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</si>
  <si>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</si>
  <si>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</si>
  <si>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</si>
  <si>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</si>
  <si>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</si>
  <si>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</si>
  <si>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</si>
  <si>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</si>
  <si>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</si>
  <si>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</si>
  <si>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</si>
  <si>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</si>
  <si>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</si>
  <si>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</si>
  <si>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</si>
  <si>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</si>
  <si>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</si>
  <si>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</si>
  <si>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</si>
  <si>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</si>
  <si>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</si>
  <si>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</si>
  <si>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</si>
  <si>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</si>
  <si>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</si>
  <si>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</si>
  <si>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</si>
  <si>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</si>
  <si>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</si>
  <si>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</si>
  <si>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</si>
  <si>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</si>
  <si>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</si>
  <si>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</si>
  <si>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</si>
  <si>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</si>
  <si>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</si>
  <si>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</si>
  <si>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</si>
  <si>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</si>
  <si>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</si>
  <si>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</si>
  <si>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</si>
  <si>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</si>
  <si>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</si>
  <si>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</si>
  <si>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</si>
  <si>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</si>
  <si>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</si>
  <si>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</si>
  <si>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</si>
  <si>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</si>
  <si>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</si>
  <si>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</si>
  <si>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</si>
  <si>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</si>
  <si>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</si>
  <si>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</si>
  <si>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</si>
  <si>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</si>
  <si>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</si>
  <si>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</si>
  <si>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</si>
  <si>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</si>
  <si>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</si>
  <si>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</si>
  <si>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</si>
  <si>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</si>
  <si>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</si>
  <si>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</si>
  <si>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</si>
  <si>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</si>
  <si>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</si>
  <si>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</si>
  <si>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</si>
  <si>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</si>
  <si>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</si>
  <si>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</si>
  <si>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</si>
  <si>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</si>
  <si>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</si>
  <si>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</si>
  <si>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</si>
  <si>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</si>
  <si>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</si>
  <si>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</si>
  <si>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Yes</t>
  </si>
  <si>
    <t>No</t>
  </si>
  <si>
    <t>March</t>
  </si>
  <si>
    <t>Tea</t>
  </si>
  <si>
    <t>Home recycled</t>
  </si>
  <si>
    <t>Yes Inorganic fertizers</t>
  </si>
  <si>
    <t>Yes without the use of a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</si>
  <si>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</si>
  <si>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</si>
  <si>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</si>
  <si>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</si>
  <si>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</si>
  <si>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</si>
  <si>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</si>
  <si>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</si>
  <si>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</si>
  <si>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</si>
  <si>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</si>
  <si>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</si>
  <si>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</si>
  <si>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</si>
  <si>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</si>
  <si>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</si>
  <si>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</si>
  <si>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</si>
  <si>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</si>
  <si>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</si>
  <si>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 of mature trees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</si>
  <si>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</si>
  <si>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</si>
  <si>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</si>
  <si>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</si>
  <si>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</si>
  <si>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</si>
  <si>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</si>
  <si>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</si>
  <si>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</si>
  <si>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</si>
  <si>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</si>
  <si>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</si>
  <si>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</si>
  <si>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</si>
  <si>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</si>
  <si>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</si>
  <si>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</si>
  <si>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</si>
  <si>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</si>
  <si>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</si>
  <si>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</si>
  <si>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</si>
  <si>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</si>
  <si>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</si>
  <si>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</si>
  <si>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</si>
  <si>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</si>
  <si>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8/1/2017</t>
  </si>
  <si>
    <t>mobile</t>
  </si>
  <si>
    <t>trp 100%</t>
  </si>
  <si>
    <t>10/1/2017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</si>
  <si>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</si>
  <si>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</si>
  <si>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</si>
  <si>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</si>
  <si>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</si>
  <si>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</si>
  <si>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</si>
  <si>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</si>
  <si>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</si>
  <si>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</si>
  <si>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</si>
  <si>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</si>
  <si>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</si>
  <si>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</si>
  <si>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</si>
  <si>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</si>
  <si>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</si>
  <si>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</si>
  <si>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</si>
  <si>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</si>
  <si>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</si>
  <si>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</si>
  <si>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</si>
  <si>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</si>
  <si>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</si>
  <si>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</si>
  <si>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</si>
  <si>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</si>
  <si>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</si>
  <si>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</si>
  <si>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</si>
  <si>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</si>
  <si>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</si>
  <si>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</si>
  <si>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</si>
  <si>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</si>
  <si>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</si>
  <si>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</si>
  <si>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</si>
  <si>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</si>
  <si>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</si>
  <si>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</si>
  <si>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</si>
  <si>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</si>
  <si>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</si>
  <si>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</si>
  <si>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</si>
  <si>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</si>
  <si>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</si>
  <si>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</si>
  <si>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</si>
  <si>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</si>
  <si>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</si>
  <si>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</si>
  <si>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</si>
  <si>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</si>
  <si>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</si>
  <si>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</si>
  <si>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</si>
  <si>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</si>
  <si>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</si>
  <si>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</si>
  <si>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</si>
  <si>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</si>
  <si>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</si>
  <si>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</si>
  <si>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</si>
  <si>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</si>
  <si>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</si>
  <si>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</si>
  <si>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</si>
  <si>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</si>
  <si>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</si>
  <si>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</si>
  <si>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</si>
  <si>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</si>
  <si>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</si>
  <si>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</si>
  <si>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</si>
  <si>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</si>
  <si>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</si>
  <si>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</si>
  <si>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</si>
  <si>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</si>
  <si>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</si>
  <si>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</si>
  <si>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</si>
  <si>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</si>
  <si>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</si>
  <si>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</si>
  <si>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</si>
  <si>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</si>
  <si>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</si>
  <si>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</si>
  <si>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</si>
  <si>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</si>
  <si>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</si>
  <si>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</si>
  <si>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</si>
  <si>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</si>
  <si>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</si>
  <si>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</si>
  <si>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</si>
  <si>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</si>
  <si>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</si>
  <si>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</si>
  <si>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</si>
  <si>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</si>
  <si>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</si>
  <si>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</si>
  <si>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</si>
  <si>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</si>
  <si>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</si>
  <si>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</si>
  <si>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</si>
  <si>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</si>
  <si>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</si>
  <si>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</si>
  <si>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</si>
  <si>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</si>
  <si>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</si>
  <si>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</si>
  <si>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</si>
  <si>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</si>
  <si>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</si>
  <si>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</si>
  <si>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</si>
  <si>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</si>
  <si>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</si>
  <si>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</si>
  <si>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</si>
  <si>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</si>
  <si>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</si>
  <si>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</si>
  <si>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</si>
  <si>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</si>
  <si>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</si>
  <si>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</si>
  <si>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</si>
  <si>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</si>
  <si>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</si>
  <si>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</si>
  <si>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</si>
  <si>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</si>
  <si>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</si>
  <si>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</si>
  <si>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</si>
  <si>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</si>
  <si>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</si>
  <si>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</si>
  <si>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</si>
  <si>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</si>
  <si>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</si>
  <si>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</si>
  <si>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</si>
  <si>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</si>
  <si>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</si>
  <si>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</si>
  <si>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</si>
  <si>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</si>
  <si>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</si>
  <si>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</si>
  <si>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</si>
  <si>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</si>
  <si>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</si>
  <si>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</si>
  <si>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</si>
  <si>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</si>
  <si>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</si>
  <si>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</si>
  <si>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</si>
  <si>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</si>
  <si>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</si>
  <si>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</si>
  <si>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</si>
  <si>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</si>
  <si>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</si>
  <si>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</si>
  <si>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</si>
  <si>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</si>
  <si>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</si>
  <si>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</si>
  <si>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</si>
  <si>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</si>
  <si>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</si>
  <si>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</si>
  <si>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</si>
  <si>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</si>
  <si>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</si>
  <si>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</si>
  <si>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</si>
  <si>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</si>
  <si>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</si>
  <si>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</si>
  <si>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</si>
  <si>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</si>
  <si>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</si>
  <si>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</si>
  <si>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</si>
  <si>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</si>
  <si>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</si>
  <si>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</si>
  <si>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</si>
  <si>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</si>
  <si>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</si>
  <si>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</si>
  <si>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</si>
  <si>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</si>
  <si>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</si>
  <si>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</si>
  <si>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</si>
  <si>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</si>
  <si>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</si>
  <si>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Shop_certified variety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</si>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</sst>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transportation of mature trees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0.490860329176953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0.0240506329113924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190974.9834394369</v>
      </c>
    </row>
    <row r="18" spans="1:7">
      <c r="B18" s="1" t="s">
        <v>12</v>
      </c>
      <c r="C18" s="36">
        <f>MIN(Output!B6:M6)</f>
        <v>-10101.89235482251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25728.10764517749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</v>
      </c>
    </row>
    <row r="25" spans="1:7">
      <c r="B25" s="1" t="s">
        <v>18</v>
      </c>
      <c r="C25" s="36">
        <f>MAX(Inputs!A56:A60)</f>
        <v>3000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25728.10764517749</v>
      </c>
      <c r="C6" s="51">
        <f>C30-C88</f>
        <v>-10101.89235482251</v>
      </c>
      <c r="D6" s="51">
        <f>D30-D88</f>
        <v>12928.10764517749</v>
      </c>
      <c r="E6" s="51">
        <f>E30-E88</f>
        <v>12928.10764517749</v>
      </c>
      <c r="F6" s="51">
        <f>F30-F88</f>
        <v>9928.107645177493</v>
      </c>
      <c r="G6" s="51">
        <f>G30-G88</f>
        <v>12928.10764517749</v>
      </c>
      <c r="H6" s="51">
        <f>H30-H88</f>
        <v>-2004.200657515554</v>
      </c>
      <c r="I6" s="51">
        <f>I30-I88</f>
        <v>25728.10764517749</v>
      </c>
      <c r="J6" s="51">
        <f>J30-J88</f>
        <v>25728.10764517749</v>
      </c>
      <c r="K6" s="51">
        <f>K30-K88</f>
        <v>25728.10764517749</v>
      </c>
      <c r="L6" s="51">
        <f>L30-L88</f>
        <v>25728.10764517749</v>
      </c>
      <c r="M6" s="51">
        <f>M30-M88</f>
        <v>25728.10764517749</v>
      </c>
      <c r="N6" s="51">
        <f>N30-N88</f>
        <v>25728.10764517749</v>
      </c>
      <c r="O6" s="51">
        <f>O30-O88</f>
        <v>-10101.89235482251</v>
      </c>
      <c r="P6" s="51">
        <f>P30-P88</f>
        <v>12928.10764517749</v>
      </c>
      <c r="Q6" s="51">
        <f>Q30-Q88</f>
        <v>12928.10764517749</v>
      </c>
      <c r="R6" s="51">
        <f>R30-R88</f>
        <v>9928.107645177493</v>
      </c>
      <c r="S6" s="51">
        <f>S30-S88</f>
        <v>12928.10764517749</v>
      </c>
      <c r="T6" s="51">
        <f>T30-T88</f>
        <v>-2004.200657515554</v>
      </c>
      <c r="U6" s="51">
        <f>U30-U88</f>
        <v>25728.10764517749</v>
      </c>
      <c r="V6" s="51">
        <f>V30-V88</f>
        <v>25728.10764517749</v>
      </c>
      <c r="W6" s="51">
        <f>W30-W88</f>
        <v>25728.10764517749</v>
      </c>
      <c r="X6" s="51">
        <f>X30-X88</f>
        <v>25728.10764517749</v>
      </c>
      <c r="Y6" s="51">
        <f>Y30-Y88</f>
        <v>25728.10764517749</v>
      </c>
      <c r="Z6" s="51">
        <f>SUMIF($B$13:$Y$13,"Yes",B6:Y6)</f>
        <v>216703.0910846143</v>
      </c>
      <c r="AA6" s="51">
        <f>AA30-AA88</f>
        <v>190974.983439437</v>
      </c>
      <c r="AB6" s="51">
        <f>AB30-AB88</f>
        <v>381949.9668788746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57072</v>
      </c>
      <c r="J7" s="80">
        <f>IF(ISERROR(VLOOKUP(MONTH(J5),Inputs!$D$66:$D$71,1,0)),"",INDEX(Inputs!$B$66:$B$71,MATCH(MONTH(Output!J5),Inputs!$D$66:$D$71,0))-INDEX(Inputs!$C$66:$C$71,MATCH(MONTH(Output!J5),Inputs!$D$66:$D$71,0)))</f>
        <v>-57579</v>
      </c>
      <c r="K7" s="80">
        <f>IF(ISERROR(VLOOKUP(MONTH(K5),Inputs!$D$66:$D$71,1,0)),"",INDEX(Inputs!$B$66:$B$71,MATCH(MONTH(Output!K5),Inputs!$D$66:$D$71,0))-INDEX(Inputs!$C$66:$C$71,MATCH(MONTH(Output!K5),Inputs!$D$66:$D$71,0)))</f>
        <v>-299</v>
      </c>
      <c r="L7" s="80">
        <f>IF(ISERROR(VLOOKUP(MONTH(L5),Inputs!$D$66:$D$71,1,0)),"",INDEX(Inputs!$B$66:$B$71,MATCH(MONTH(Output!L5),Inputs!$D$66:$D$71,0))-INDEX(Inputs!$C$66:$C$71,MATCH(MONTH(Output!L5),Inputs!$D$66:$D$71,0)))</f>
        <v>225</v>
      </c>
      <c r="M7" s="80">
        <f>IF(ISERROR(VLOOKUP(MONTH(M5),Inputs!$D$66:$D$71,1,0)),"",INDEX(Inputs!$B$66:$B$71,MATCH(MONTH(Output!M5),Inputs!$D$66:$D$71,0))-INDEX(Inputs!$C$66:$C$71,MATCH(MONTH(Output!M5),Inputs!$D$66:$D$71,0)))</f>
        <v>-26</v>
      </c>
      <c r="N7" s="80">
        <f>IF(ISERROR(VLOOKUP(MONTH(N5),Inputs!$D$66:$D$71,1,0)),"",INDEX(Inputs!$B$66:$B$71,MATCH(MONTH(Output!N5),Inputs!$D$66:$D$71,0))-INDEX(Inputs!$C$66:$C$71,MATCH(MONTH(Output!N5),Inputs!$D$66:$D$71,0)))</f>
        <v>28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57072</v>
      </c>
      <c r="V7" s="80">
        <f>IF(ISERROR(VLOOKUP(MONTH(V5),Inputs!$D$66:$D$71,1,0)),"",INDEX(Inputs!$B$66:$B$71,MATCH(MONTH(Output!V5),Inputs!$D$66:$D$71,0))-INDEX(Inputs!$C$66:$C$71,MATCH(MONTH(Output!V5),Inputs!$D$66:$D$71,0)))</f>
        <v>-57579</v>
      </c>
      <c r="W7" s="80">
        <f>IF(ISERROR(VLOOKUP(MONTH(W5),Inputs!$D$66:$D$71,1,0)),"",INDEX(Inputs!$B$66:$B$71,MATCH(MONTH(Output!W5),Inputs!$D$66:$D$71,0))-INDEX(Inputs!$C$66:$C$71,MATCH(MONTH(Output!W5),Inputs!$D$66:$D$71,0)))</f>
        <v>-299</v>
      </c>
      <c r="X7" s="80">
        <f>IF(ISERROR(VLOOKUP(MONTH(X5),Inputs!$D$66:$D$71,1,0)),"",INDEX(Inputs!$B$66:$B$71,MATCH(MONTH(Output!X5),Inputs!$D$66:$D$71,0))-INDEX(Inputs!$C$66:$C$71,MATCH(MONTH(Output!X5),Inputs!$D$66:$D$71,0)))</f>
        <v>225</v>
      </c>
      <c r="Y7" s="80">
        <f>IF(ISERROR(VLOOKUP(MONTH(Y5),Inputs!$D$66:$D$71,1,0)),"",INDEX(Inputs!$B$66:$B$71,MATCH(MONTH(Output!Y5),Inputs!$D$66:$D$71,0))-INDEX(Inputs!$C$66:$C$71,MATCH(MONTH(Output!Y5),Inputs!$D$66:$D$71,0)))</f>
        <v>-26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175728.1076451775</v>
      </c>
      <c r="C11" s="80">
        <f>C6+C9-C10</f>
        <v>-25101.89235482251</v>
      </c>
      <c r="D11" s="80">
        <f>D6+D9-D10</f>
        <v>-2071.892354822507</v>
      </c>
      <c r="E11" s="80">
        <f>E6+E9-E10</f>
        <v>-2071.892354822507</v>
      </c>
      <c r="F11" s="80">
        <f>F6+F9-F10</f>
        <v>-5071.892354822507</v>
      </c>
      <c r="G11" s="80">
        <f>G6+G9-G10</f>
        <v>-2071.892354822507</v>
      </c>
      <c r="H11" s="80">
        <f>H6+H9-H10</f>
        <v>-17004.20065751555</v>
      </c>
      <c r="I11" s="80">
        <f>I6+I9-I10</f>
        <v>10728.10764517749</v>
      </c>
      <c r="J11" s="80">
        <f>J6+J9-J10</f>
        <v>10728.10764517749</v>
      </c>
      <c r="K11" s="80">
        <f>K6+K9-K10</f>
        <v>10728.10764517749</v>
      </c>
      <c r="L11" s="80">
        <f>L6+L9-L10</f>
        <v>10728.10764517749</v>
      </c>
      <c r="M11" s="80">
        <f>M6+M9-M10</f>
        <v>10728.10764517749</v>
      </c>
      <c r="N11" s="80">
        <f>N6+N9-N10</f>
        <v>10728.10764517749</v>
      </c>
      <c r="O11" s="80">
        <f>O6+O9-O10</f>
        <v>-10101.89235482251</v>
      </c>
      <c r="P11" s="80">
        <f>P6+P9-P10</f>
        <v>12928.10764517749</v>
      </c>
      <c r="Q11" s="80">
        <f>Q6+Q9-Q10</f>
        <v>12928.10764517749</v>
      </c>
      <c r="R11" s="80">
        <f>R6+R9-R10</f>
        <v>9928.107645177493</v>
      </c>
      <c r="S11" s="80">
        <f>S6+S9-S10</f>
        <v>12928.10764517749</v>
      </c>
      <c r="T11" s="80">
        <f>T6+T9-T10</f>
        <v>-2004.200657515554</v>
      </c>
      <c r="U11" s="80">
        <f>U6+U9-U10</f>
        <v>25728.10764517749</v>
      </c>
      <c r="V11" s="80">
        <f>V6+V9-V10</f>
        <v>25728.10764517749</v>
      </c>
      <c r="W11" s="80">
        <f>W6+W9-W10</f>
        <v>25728.10764517749</v>
      </c>
      <c r="X11" s="80">
        <f>X6+X9-X10</f>
        <v>25728.10764517749</v>
      </c>
      <c r="Y11" s="80">
        <f>Y6+Y9-Y10</f>
        <v>25728.10764517749</v>
      </c>
      <c r="Z11" s="85">
        <f>SUMIF($B$13:$Y$13,"Yes",B11:Y11)</f>
        <v>186703.0910846143</v>
      </c>
      <c r="AA11" s="80">
        <f>SUM(B11:M11)</f>
        <v>175974.9834394368</v>
      </c>
      <c r="AB11" s="46">
        <f>SUM(B11:Y11)</f>
        <v>351949.9668788737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0.09056537320317254</v>
      </c>
      <c r="D12" s="82">
        <f>IF(D13="Yes",IF(SUM($B$10:D10)/(SUM($B$6:D6)+SUM($B$9:D9))&lt;0,999.99,SUM($B$10:D10)/(SUM($B$6:D6)+SUM($B$9:D9))),"")</f>
        <v>0.1680160945239706</v>
      </c>
      <c r="E12" s="82">
        <f>IF(E13="Yes",IF(SUM($B$10:E10)/(SUM($B$6:E6)+SUM($B$9:E9))&lt;0,999.99,SUM($B$10:E10)/(SUM($B$6:E6)+SUM($B$9:E9))),"")</f>
        <v>0.2350085063341228</v>
      </c>
      <c r="F12" s="82">
        <f>IF(F13="Yes",IF(SUM($B$10:F10)/(SUM($B$6:F6)+SUM($B$9:F9))&lt;0,999.99,SUM($B$10:F10)/(SUM($B$6:F6)+SUM($B$9:F9))),"")</f>
        <v>0.2978990102926409</v>
      </c>
      <c r="G12" s="82">
        <f>IF(G13="Yes",IF(SUM($B$10:G10)/(SUM($B$6:G6)+SUM($B$9:G9))&lt;0,999.99,SUM($B$10:G10)/(SUM($B$6:G6)+SUM($B$9:G9))),"")</f>
        <v>0.3499135664275686</v>
      </c>
      <c r="H12" s="82">
        <f>IF(H13="Yes",IF(SUM($B$10:H10)/(SUM($B$6:H6)+SUM($B$9:H9))&lt;0,999.99,SUM($B$10:H10)/(SUM($B$6:H6)+SUM($B$9:H9))),"")</f>
        <v>0.4238596328988687</v>
      </c>
      <c r="I12" s="82">
        <f>IF(I13="Yes",IF(SUM($B$10:I10)/(SUM($B$6:I6)+SUM($B$9:I9))&lt;0,999.99,SUM($B$10:I10)/(SUM($B$6:I6)+SUM($B$9:I9))),"")</f>
        <v>0.4410605479069612</v>
      </c>
      <c r="J12" s="82">
        <f>IF(J13="Yes",IF(SUM($B$10:J10)/(SUM($B$6:J6)+SUM($B$9:J9))&lt;0,999.99,SUM($B$10:J10)/(SUM($B$6:J6)+SUM($B$9:J9))),"")</f>
        <v>0.4549061735952697</v>
      </c>
      <c r="K12" s="82">
        <f>IF(K13="Yes",IF(SUM($B$10:K10)/(SUM($B$6:K6)+SUM($B$9:K9))&lt;0,999.99,SUM($B$10:K10)/(SUM($B$6:K6)+SUM($B$9:K9))),"")</f>
        <v>0.4662910140957925</v>
      </c>
      <c r="L12" s="82">
        <f>IF(L13="Yes",IF(SUM($B$10:L10)/(SUM($B$6:L6)+SUM($B$9:L9))&lt;0,999.99,SUM($B$10:L10)/(SUM($B$6:L6)+SUM($B$9:L9))),"")</f>
        <v>0.4758175624170023</v>
      </c>
      <c r="M12" s="82">
        <f>IF(M13="Yes",IF(SUM($B$10:M10)/(SUM($B$6:M6)+SUM($B$9:M9))&lt;0,999.99,SUM($B$10:M10)/(SUM($B$6:M6)+SUM($B$9:M9))),"")</f>
        <v>0.4839064682565103</v>
      </c>
      <c r="N12" s="82">
        <f>IF(N13="Yes",IF(SUM($B$10:N10)/(SUM($B$6:N6)+SUM($B$9:N9))&lt;0,999.99,SUM($B$10:N10)/(SUM($B$6:N6)+SUM($B$9:N9))),"")</f>
        <v>0.490860329176953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50256.57894736843</v>
      </c>
      <c r="C30" s="19">
        <f>SUM(C18:C29)</f>
        <v>50256.57894736843</v>
      </c>
      <c r="D30" s="19">
        <f>SUM(D18:D29)</f>
        <v>50256.57894736843</v>
      </c>
      <c r="E30" s="19">
        <f>SUM(E18:E29)</f>
        <v>50256.57894736843</v>
      </c>
      <c r="F30" s="19">
        <f>SUM(F18:F29)</f>
        <v>50256.57894736843</v>
      </c>
      <c r="G30" s="19">
        <f>SUM(G18:G29)</f>
        <v>50256.57894736843</v>
      </c>
      <c r="H30" s="19">
        <f>SUM(H18:H29)</f>
        <v>50256.57894736843</v>
      </c>
      <c r="I30" s="19">
        <f>SUM(I18:I29)</f>
        <v>50256.57894736843</v>
      </c>
      <c r="J30" s="19">
        <f>SUM(J18:J29)</f>
        <v>50256.57894736843</v>
      </c>
      <c r="K30" s="19">
        <f>SUM(K18:K29)</f>
        <v>50256.57894736843</v>
      </c>
      <c r="L30" s="19">
        <f>SUM(L18:L29)</f>
        <v>50256.57894736843</v>
      </c>
      <c r="M30" s="19">
        <f>SUM(M18:M29)</f>
        <v>50256.57894736843</v>
      </c>
      <c r="N30" s="19">
        <f>SUM(N18:N29)</f>
        <v>50256.57894736843</v>
      </c>
      <c r="O30" s="19">
        <f>SUM(O18:O29)</f>
        <v>50256.57894736843</v>
      </c>
      <c r="P30" s="19">
        <f>SUM(P18:P29)</f>
        <v>50256.57894736843</v>
      </c>
      <c r="Q30" s="19">
        <f>SUM(Q18:Q29)</f>
        <v>50256.57894736843</v>
      </c>
      <c r="R30" s="19">
        <f>SUM(R18:R29)</f>
        <v>50256.57894736843</v>
      </c>
      <c r="S30" s="19">
        <f>SUM(S18:S29)</f>
        <v>50256.57894736843</v>
      </c>
      <c r="T30" s="19">
        <f>SUM(T18:T29)</f>
        <v>50256.57894736843</v>
      </c>
      <c r="U30" s="19">
        <f>SUM(U18:U29)</f>
        <v>50256.57894736843</v>
      </c>
      <c r="V30" s="19">
        <f>SUM(V18:V29)</f>
        <v>50256.57894736843</v>
      </c>
      <c r="W30" s="19">
        <f>SUM(W18:W29)</f>
        <v>50256.57894736843</v>
      </c>
      <c r="X30" s="19">
        <f>SUM(X18:X29)</f>
        <v>50256.57894736843</v>
      </c>
      <c r="Y30" s="19">
        <f>SUM(Y18:Y29)</f>
        <v>50256.57894736843</v>
      </c>
      <c r="Z30" s="19">
        <f>SUMIF($B$13:$Y$13,"Yes",B30:Y30)</f>
        <v>653335.5263157896</v>
      </c>
      <c r="AA30" s="19">
        <f>SUM(B30:M30)</f>
        <v>603078.9473684211</v>
      </c>
      <c r="AB30" s="19">
        <f>SUM(B30:Y30)</f>
        <v>1206157.894736843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Tea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3030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14932.30830269305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14932.30830269305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14932.30830269305</v>
      </c>
      <c r="AA54" s="46">
        <f>SUM(B54:M54)</f>
        <v>14932.30830269305</v>
      </c>
      <c r="AB54" s="46">
        <f>SUM(B54:Y54)</f>
        <v>29864.6166053861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14932.30830269305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14932.30830269305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14932.30830269305</v>
      </c>
      <c r="AA55" s="46">
        <f>SUM(B55:M55)</f>
        <v>14932.30830269305</v>
      </c>
      <c r="AB55" s="46">
        <f>SUM(B55:Y55)</f>
        <v>29864.6166053861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3200</v>
      </c>
      <c r="C66" s="36">
        <f>O66</f>
        <v>16000</v>
      </c>
      <c r="D66" s="36">
        <f>P66</f>
        <v>16000</v>
      </c>
      <c r="E66" s="36">
        <f>Q66</f>
        <v>16000</v>
      </c>
      <c r="F66" s="36">
        <f>R66</f>
        <v>16000</v>
      </c>
      <c r="G66" s="36">
        <f>S66</f>
        <v>16000</v>
      </c>
      <c r="H66" s="36">
        <f>T66</f>
        <v>16000</v>
      </c>
      <c r="I66" s="36">
        <f>U66</f>
        <v>3200</v>
      </c>
      <c r="J66" s="36">
        <f>V66</f>
        <v>3200</v>
      </c>
      <c r="K66" s="36">
        <f>W66</f>
        <v>3200</v>
      </c>
      <c r="L66" s="36">
        <f>X66</f>
        <v>3200</v>
      </c>
      <c r="M66" s="36">
        <f>Y66</f>
        <v>3200</v>
      </c>
      <c r="N66" s="46">
        <f>SUM(N67:N71)</f>
        <v>3200</v>
      </c>
      <c r="O66" s="46">
        <f>SUM(O67:O71)</f>
        <v>16000</v>
      </c>
      <c r="P66" s="46">
        <f>SUM(P67:P71)</f>
        <v>16000</v>
      </c>
      <c r="Q66" s="46">
        <f>SUM(Q67:Q71)</f>
        <v>16000</v>
      </c>
      <c r="R66" s="46">
        <f>SUM(R67:R71)</f>
        <v>16000</v>
      </c>
      <c r="S66" s="46">
        <f>SUM(S67:S71)</f>
        <v>16000</v>
      </c>
      <c r="T66" s="46">
        <f>SUM(T67:T71)</f>
        <v>16000</v>
      </c>
      <c r="U66" s="46">
        <f>SUM(U67:U71)</f>
        <v>3200</v>
      </c>
      <c r="V66" s="46">
        <f>SUM(V67:V71)</f>
        <v>3200</v>
      </c>
      <c r="W66" s="46">
        <f>SUM(W67:W71)</f>
        <v>3200</v>
      </c>
      <c r="X66" s="46">
        <f>SUM(X67:X71)</f>
        <v>3200</v>
      </c>
      <c r="Y66" s="46">
        <f>SUM(Y67:Y71)</f>
        <v>3200</v>
      </c>
      <c r="Z66" s="46">
        <f>SUMIF($B$13:$Y$13,"Yes",B66:Y66)</f>
        <v>118400</v>
      </c>
      <c r="AA66" s="46">
        <f>SUM(B66:M66)</f>
        <v>115200</v>
      </c>
      <c r="AB66" s="46">
        <f>SUM(B66:Y66)</f>
        <v>230400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12800</v>
      </c>
      <c r="D67" s="36">
        <f>P67</f>
        <v>12800</v>
      </c>
      <c r="E67" s="36">
        <f>Q67</f>
        <v>12800</v>
      </c>
      <c r="F67" s="36">
        <f>R67</f>
        <v>12800</v>
      </c>
      <c r="G67" s="36">
        <f>S67</f>
        <v>12800</v>
      </c>
      <c r="H67" s="36">
        <f>T67</f>
        <v>12800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76800</v>
      </c>
      <c r="AA67" s="46">
        <f>SUM(B67:M67)</f>
        <v>76800</v>
      </c>
      <c r="AB67" s="46">
        <f>SUM(B67:Y67)</f>
        <v>153600</v>
      </c>
    </row>
    <row r="68" spans="1:30" hidden="true" outlineLevel="1">
      <c r="A68" s="181" t="str">
        <f>Calculations!$A$5</f>
        <v>Tea</v>
      </c>
      <c r="B68" s="36">
        <f>N68</f>
        <v>3200</v>
      </c>
      <c r="C68" s="36">
        <f>O68</f>
        <v>3200</v>
      </c>
      <c r="D68" s="36">
        <f>P68</f>
        <v>3200</v>
      </c>
      <c r="E68" s="36">
        <f>Q68</f>
        <v>3200</v>
      </c>
      <c r="F68" s="36">
        <f>R68</f>
        <v>3200</v>
      </c>
      <c r="G68" s="36">
        <f>S68</f>
        <v>3200</v>
      </c>
      <c r="H68" s="36">
        <f>T68</f>
        <v>3200</v>
      </c>
      <c r="I68" s="36">
        <f>U68</f>
        <v>3200</v>
      </c>
      <c r="J68" s="36">
        <f>V68</f>
        <v>3200</v>
      </c>
      <c r="K68" s="36">
        <f>W68</f>
        <v>3200</v>
      </c>
      <c r="L68" s="36">
        <f>X68</f>
        <v>3200</v>
      </c>
      <c r="M68" s="36">
        <f>Y68</f>
        <v>3200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3200</v>
      </c>
      <c r="Z68" s="46">
        <f>SUMIF($B$13:$Y$13,"Yes",B68:Y68)</f>
        <v>41600</v>
      </c>
      <c r="AA68" s="46">
        <f>SUM(B68:M68)</f>
        <v>38400</v>
      </c>
      <c r="AB68" s="46">
        <f>SUM(B68:Y68)</f>
        <v>76800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10609.72130219094</v>
      </c>
      <c r="C81" s="46">
        <f>(SUM($AA$18:$AA$29)-SUM($AA$36,$AA$42,$AA$48,$AA$54,$AA$60,$AA$66,$AA$72:$AA$79))*Parameters!$B$37/12</f>
        <v>10609.72130219094</v>
      </c>
      <c r="D81" s="46">
        <f>(SUM($AA$18:$AA$29)-SUM($AA$36,$AA$42,$AA$48,$AA$54,$AA$60,$AA$66,$AA$72:$AA$79))*Parameters!$B$37/12</f>
        <v>10609.72130219094</v>
      </c>
      <c r="E81" s="46">
        <f>(SUM($AA$18:$AA$29)-SUM($AA$36,$AA$42,$AA$48,$AA$54,$AA$60,$AA$66,$AA$72:$AA$79))*Parameters!$B$37/12</f>
        <v>10609.72130219094</v>
      </c>
      <c r="F81" s="46">
        <f>(SUM($AA$18:$AA$29)-SUM($AA$36,$AA$42,$AA$48,$AA$54,$AA$60,$AA$66,$AA$72:$AA$79))*Parameters!$B$37/12</f>
        <v>10609.72130219094</v>
      </c>
      <c r="G81" s="46">
        <f>(SUM($AA$18:$AA$29)-SUM($AA$36,$AA$42,$AA$48,$AA$54,$AA$60,$AA$66,$AA$72:$AA$79))*Parameters!$B$37/12</f>
        <v>10609.72130219094</v>
      </c>
      <c r="H81" s="46">
        <f>(SUM($AA$18:$AA$29)-SUM($AA$36,$AA$42,$AA$48,$AA$54,$AA$60,$AA$66,$AA$72:$AA$79))*Parameters!$B$37/12</f>
        <v>10609.72130219094</v>
      </c>
      <c r="I81" s="46">
        <f>(SUM($AA$18:$AA$29)-SUM($AA$36,$AA$42,$AA$48,$AA$54,$AA$60,$AA$66,$AA$72:$AA$79))*Parameters!$B$37/12</f>
        <v>10609.72130219094</v>
      </c>
      <c r="J81" s="46">
        <f>(SUM($AA$18:$AA$29)-SUM($AA$36,$AA$42,$AA$48,$AA$54,$AA$60,$AA$66,$AA$72:$AA$79))*Parameters!$B$37/12</f>
        <v>10609.72130219094</v>
      </c>
      <c r="K81" s="46">
        <f>(SUM($AA$18:$AA$29)-SUM($AA$36,$AA$42,$AA$48,$AA$54,$AA$60,$AA$66,$AA$72:$AA$79))*Parameters!$B$37/12</f>
        <v>10609.72130219094</v>
      </c>
      <c r="L81" s="46">
        <f>(SUM($AA$18:$AA$29)-SUM($AA$36,$AA$42,$AA$48,$AA$54,$AA$60,$AA$66,$AA$72:$AA$79))*Parameters!$B$37/12</f>
        <v>10609.72130219094</v>
      </c>
      <c r="M81" s="46">
        <f>(SUM($AA$18:$AA$29)-SUM($AA$36,$AA$42,$AA$48,$AA$54,$AA$60,$AA$66,$AA$72:$AA$79))*Parameters!$B$37/12</f>
        <v>10609.72130219094</v>
      </c>
      <c r="N81" s="46">
        <f>(SUM($AA$18:$AA$29)-SUM($AA$36,$AA$42,$AA$48,$AA$54,$AA$60,$AA$66,$AA$72:$AA$79))*Parameters!$B$37/12</f>
        <v>10609.72130219094</v>
      </c>
      <c r="O81" s="46">
        <f>(SUM($AA$18:$AA$29)-SUM($AA$36,$AA$42,$AA$48,$AA$54,$AA$60,$AA$66,$AA$72:$AA$79))*Parameters!$B$37/12</f>
        <v>10609.72130219094</v>
      </c>
      <c r="P81" s="46">
        <f>(SUM($AA$18:$AA$29)-SUM($AA$36,$AA$42,$AA$48,$AA$54,$AA$60,$AA$66,$AA$72:$AA$79))*Parameters!$B$37/12</f>
        <v>10609.72130219094</v>
      </c>
      <c r="Q81" s="46">
        <f>(SUM($AA$18:$AA$29)-SUM($AA$36,$AA$42,$AA$48,$AA$54,$AA$60,$AA$66,$AA$72:$AA$79))*Parameters!$B$37/12</f>
        <v>10609.72130219094</v>
      </c>
      <c r="R81" s="46">
        <f>(SUM($AA$18:$AA$29)-SUM($AA$36,$AA$42,$AA$48,$AA$54,$AA$60,$AA$66,$AA$72:$AA$79))*Parameters!$B$37/12</f>
        <v>10609.72130219094</v>
      </c>
      <c r="S81" s="46">
        <f>(SUM($AA$18:$AA$29)-SUM($AA$36,$AA$42,$AA$48,$AA$54,$AA$60,$AA$66,$AA$72:$AA$79))*Parameters!$B$37/12</f>
        <v>10609.72130219094</v>
      </c>
      <c r="T81" s="46">
        <f>(SUM($AA$18:$AA$29)-SUM($AA$36,$AA$42,$AA$48,$AA$54,$AA$60,$AA$66,$AA$72:$AA$79))*Parameters!$B$37/12</f>
        <v>10609.72130219094</v>
      </c>
      <c r="U81" s="46">
        <f>(SUM($AA$18:$AA$29)-SUM($AA$36,$AA$42,$AA$48,$AA$54,$AA$60,$AA$66,$AA$72:$AA$79))*Parameters!$B$37/12</f>
        <v>10609.72130219094</v>
      </c>
      <c r="V81" s="46">
        <f>(SUM($AA$18:$AA$29)-SUM($AA$36,$AA$42,$AA$48,$AA$54,$AA$60,$AA$66,$AA$72:$AA$79))*Parameters!$B$37/12</f>
        <v>10609.72130219094</v>
      </c>
      <c r="W81" s="46">
        <f>(SUM($AA$18:$AA$29)-SUM($AA$36,$AA$42,$AA$48,$AA$54,$AA$60,$AA$66,$AA$72:$AA$79))*Parameters!$B$37/12</f>
        <v>10609.72130219094</v>
      </c>
      <c r="X81" s="46">
        <f>(SUM($AA$18:$AA$29)-SUM($AA$36,$AA$42,$AA$48,$AA$54,$AA$60,$AA$66,$AA$72:$AA$79))*Parameters!$B$37/12</f>
        <v>10609.72130219094</v>
      </c>
      <c r="Y81" s="46">
        <f>(SUM($AA$18:$AA$29)-SUM($AA$36,$AA$42,$AA$48,$AA$54,$AA$60,$AA$66,$AA$72:$AA$79))*Parameters!$B$37/12</f>
        <v>10609.72130219094</v>
      </c>
      <c r="Z81" s="46">
        <f>SUMIF($B$13:$Y$13,"Yes",B81:Y81)</f>
        <v>137926.3769284822</v>
      </c>
      <c r="AA81" s="46">
        <f>SUM(B81:M81)</f>
        <v>127316.6556262912</v>
      </c>
      <c r="AB81" s="46">
        <f>SUM(B81:Y81)</f>
        <v>254633.3112525825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24528.47130219093</v>
      </c>
      <c r="C88" s="19">
        <f>SUM(C72:C82,C66,C60,C54,C48,C42,C36)</f>
        <v>60358.47130219093</v>
      </c>
      <c r="D88" s="19">
        <f>SUM(D72:D82,D66,D60,D54,D48,D42,D36)</f>
        <v>37328.47130219093</v>
      </c>
      <c r="E88" s="19">
        <f>SUM(E72:E82,E66,E60,E54,E48,E42,E36)</f>
        <v>37328.47130219093</v>
      </c>
      <c r="F88" s="19">
        <f>SUM(F72:F82,F66,F60,F54,F48,F42,F36)</f>
        <v>40328.47130219093</v>
      </c>
      <c r="G88" s="19">
        <f>SUM(G72:G82,G66,G60,G54,G48,G42,G36)</f>
        <v>37328.47130219093</v>
      </c>
      <c r="H88" s="19">
        <f>SUM(H72:H82,H66,H60,H54,H48,H42,H36)</f>
        <v>52260.77960488398</v>
      </c>
      <c r="I88" s="19">
        <f>SUM(I72:I82,I66,I60,I54,I48,I42,I36)</f>
        <v>24528.47130219093</v>
      </c>
      <c r="J88" s="19">
        <f>SUM(J72:J82,J66,J60,J54,J48,J42,J36)</f>
        <v>24528.47130219093</v>
      </c>
      <c r="K88" s="19">
        <f>SUM(K72:K82,K66,K60,K54,K48,K42,K36)</f>
        <v>24528.47130219093</v>
      </c>
      <c r="L88" s="19">
        <f>SUM(L72:L82,L66,L60,L54,L48,L42,L36)</f>
        <v>24528.47130219093</v>
      </c>
      <c r="M88" s="19">
        <f>SUM(M72:M82,M66,M60,M54,M48,M42,M36)</f>
        <v>24528.47130219093</v>
      </c>
      <c r="N88" s="19">
        <f>SUM(N72:N82,N66,N60,N54,N48,N42,N36)</f>
        <v>24528.47130219093</v>
      </c>
      <c r="O88" s="19">
        <f>SUM(O72:O82,O66,O60,O54,O48,O42,O36)</f>
        <v>60358.47130219093</v>
      </c>
      <c r="P88" s="19">
        <f>SUM(P72:P82,P66,P60,P54,P48,P42,P36)</f>
        <v>37328.47130219093</v>
      </c>
      <c r="Q88" s="19">
        <f>SUM(Q72:Q82,Q66,Q60,Q54,Q48,Q42,Q36)</f>
        <v>37328.47130219093</v>
      </c>
      <c r="R88" s="19">
        <f>SUM(R72:R82,R66,R60,R54,R48,R42,R36)</f>
        <v>40328.47130219093</v>
      </c>
      <c r="S88" s="19">
        <f>SUM(S72:S82,S66,S60,S54,S48,S42,S36)</f>
        <v>37328.47130219093</v>
      </c>
      <c r="T88" s="19">
        <f>SUM(T72:T82,T66,T60,T54,T48,T42,T36)</f>
        <v>52260.77960488398</v>
      </c>
      <c r="U88" s="19">
        <f>SUM(U72:U82,U66,U60,U54,U48,U42,U36)</f>
        <v>24528.47130219093</v>
      </c>
      <c r="V88" s="19">
        <f>SUM(V72:V82,V66,V60,V54,V48,V42,V36)</f>
        <v>24528.47130219093</v>
      </c>
      <c r="W88" s="19">
        <f>SUM(W72:W82,W66,W60,W54,W48,W42,W36)</f>
        <v>24528.47130219093</v>
      </c>
      <c r="X88" s="19">
        <f>SUM(X72:X82,X66,X60,X54,X48,X42,X36)</f>
        <v>24528.47130219093</v>
      </c>
      <c r="Y88" s="19">
        <f>SUM(Y72:Y82,Y66,Y60,Y54,Y48,Y42,Y36)</f>
        <v>24528.47130219093</v>
      </c>
      <c r="Z88" s="19">
        <f>SUMIF($B$13:$Y$13,"Yes",B88:Y88)</f>
        <v>436632.435231175</v>
      </c>
      <c r="AA88" s="19">
        <f>SUM(B88:M88)</f>
        <v>412103.9639289841</v>
      </c>
      <c r="AB88" s="19">
        <f>SUM(B88:Y88)</f>
        <v>824207.9278579681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6320000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5</v>
      </c>
      <c r="D19" s="145">
        <v>2</v>
      </c>
      <c r="E19" s="20"/>
      <c r="F19" s="145" t="s">
        <v>92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20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20000</v>
      </c>
    </row>
    <row r="31" spans="1:48">
      <c r="A31" s="5" t="s">
        <v>121</v>
      </c>
      <c r="B31" s="158">
        <v>4000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350000</v>
      </c>
    </row>
    <row r="46" spans="1:48" customHeight="1" ht="30">
      <c r="A46" s="57" t="s">
        <v>135</v>
      </c>
      <c r="B46" s="161">
        <v>250000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150000</v>
      </c>
    </row>
    <row r="49" spans="1:48" customHeight="1" ht="30">
      <c r="A49" s="57" t="s">
        <v>138</v>
      </c>
      <c r="B49" s="161">
        <v>120000</v>
      </c>
    </row>
    <row r="50" spans="1:48">
      <c r="A50" s="43"/>
      <c r="B50" s="36"/>
    </row>
    <row r="51" spans="1:48">
      <c r="A51" s="58" t="s">
        <v>139</v>
      </c>
      <c r="B51" s="161">
        <v>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2600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3000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152</v>
      </c>
      <c r="C65" s="10" t="s">
        <v>153</v>
      </c>
    </row>
    <row r="66" spans="1:48">
      <c r="A66" s="142" t="s">
        <v>154</v>
      </c>
      <c r="B66" s="159">
        <v>881300</v>
      </c>
      <c r="C66" s="163">
        <v>824228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575818</v>
      </c>
      <c r="C67" s="165">
        <v>633397</v>
      </c>
      <c r="D67" s="49">
        <f>INDEX(Parameters!$D$79:$D$90,MATCH(Inputs!A67,Parameters!$C$79:$C$90,0))</f>
        <v>10</v>
      </c>
    </row>
    <row r="68" spans="1:48">
      <c r="A68" s="143" t="s">
        <v>156</v>
      </c>
      <c r="B68" s="157">
        <v>380785</v>
      </c>
      <c r="C68" s="165">
        <v>381084</v>
      </c>
      <c r="D68" s="49">
        <f>INDEX(Parameters!$D$79:$D$90,MATCH(Inputs!A68,Parameters!$C$79:$C$90,0))</f>
        <v>11</v>
      </c>
    </row>
    <row r="69" spans="1:48">
      <c r="A69" s="143" t="s">
        <v>157</v>
      </c>
      <c r="B69" s="157">
        <v>491901</v>
      </c>
      <c r="C69" s="165">
        <v>491676</v>
      </c>
      <c r="D69" s="49">
        <f>INDEX(Parameters!$D$79:$D$90,MATCH(Inputs!A69,Parameters!$C$79:$C$90,0))</f>
        <v>12</v>
      </c>
    </row>
    <row r="70" spans="1:48">
      <c r="A70" s="143" t="s">
        <v>158</v>
      </c>
      <c r="B70" s="157">
        <v>326976</v>
      </c>
      <c r="C70" s="165">
        <v>327002</v>
      </c>
      <c r="D70" s="49">
        <f>INDEX(Parameters!$D$79:$D$90,MATCH(Inputs!A70,Parameters!$C$79:$C$90,0))</f>
        <v>1</v>
      </c>
    </row>
    <row r="71" spans="1:48">
      <c r="A71" s="144" t="s">
        <v>159</v>
      </c>
      <c r="B71" s="158">
        <v>233891</v>
      </c>
      <c r="C71" s="167">
        <v>233863</v>
      </c>
      <c r="D71" s="49">
        <f>INDEX(Parameters!$D$79:$D$90,MATCH(Inputs!A71,Parameters!$C$79:$C$90,0))</f>
        <v>2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7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649.2307957692631</v>
      </c>
      <c r="M4" s="25">
        <f>L4*H4</f>
        <v>3246.153978846315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7466.154151346524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839.7170547214236</v>
      </c>
      <c r="M5" s="30">
        <f>L5*H5</f>
        <v>1679.434109442847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48000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2600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43160</v>
      </c>
      <c r="F33" t="s">
        <v>165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43191</v>
      </c>
      <c r="F34" t="s">
        <v>166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43221</v>
      </c>
      <c r="F35" t="s">
        <v>168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43252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43282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43313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43344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43374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43405</v>
      </c>
      <c r="F41" t="s">
        <v>232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43435</v>
      </c>
      <c r="F42" t="s">
        <v>233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132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132</v>
      </c>
      <c r="I77" s="12" t="s">
        <v>355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114</v>
      </c>
      <c r="H78" s="12" t="s">
        <v>319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171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91</v>
      </c>
      <c r="F80" s="12" t="s">
        <v>98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