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<sst xmlns="http://schemas.openxmlformats.org/spreadsheetml/2006/main" uniqueCount="371">
  <si>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</si>
  <si>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</si>
  <si>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</si>
  <si>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</si>
  <si>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</si>
  <si>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</si>
  <si>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</si>
  <si>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</si>
  <si>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</si>
  <si>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</si>
  <si>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</si>
  <si>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</si>
  <si>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</si>
  <si>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</si>
  <si>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</si>
  <si>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</si>
  <si>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</si>
  <si>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</si>
  <si>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</si>
  <si>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</si>
  <si>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</si>
  <si>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</si>
  <si>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</si>
  <si>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</si>
  <si>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</si>
  <si>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</si>
  <si>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</si>
  <si>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</si>
  <si>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</si>
  <si>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</si>
  <si>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</si>
  <si>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</si>
  <si>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</si>
  <si>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</si>
  <si>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</si>
  <si>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</si>
  <si>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</si>
  <si>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</si>
  <si>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</si>
  <si>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</si>
  <si>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</si>
  <si>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</si>
  <si>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</si>
  <si>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</si>
  <si>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</si>
  <si>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</si>
  <si>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</si>
  <si>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</si>
  <si>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</si>
  <si>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</si>
  <si>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</si>
  <si>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</si>
  <si>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</si>
  <si>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</si>
  <si>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</si>
  <si>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</si>
  <si>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</si>
  <si>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</si>
  <si>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</si>
  <si>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</si>
  <si>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</si>
  <si>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</si>
  <si>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</si>
  <si>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</si>
  <si>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</si>
  <si>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</si>
  <si>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</si>
  <si>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</si>
  <si>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</si>
  <si>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</si>
  <si>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</si>
  <si>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</si>
  <si>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</si>
  <si>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</si>
  <si>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</si>
  <si>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</si>
  <si>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</si>
  <si>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</si>
  <si>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</si>
  <si>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</si>
  <si>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</si>
  <si>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</si>
  <si>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</si>
  <si>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</si>
  <si>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</si>
  <si>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</si>
  <si>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</si>
  <si>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</si>
  <si>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</si>
  <si>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</si>
  <si>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</si>
  <si>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</si>
  <si>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</si>
  <si>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</si>
  <si>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February</t>
  </si>
  <si>
    <t>Tea</t>
  </si>
  <si>
    <t>Home recycled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</si>
  <si>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</si>
  <si>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</si>
  <si>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</si>
  <si>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</si>
  <si>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</si>
  <si>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</si>
  <si>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</si>
  <si>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</si>
  <si>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</si>
  <si>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</si>
  <si>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</si>
  <si>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</si>
  <si>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</si>
  <si>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</si>
  <si>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</si>
  <si>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</si>
  <si>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</si>
  <si>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</si>
  <si>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</si>
  <si>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</si>
  <si>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</si>
  <si>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</si>
  <si>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</si>
  <si>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</si>
  <si>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</si>
  <si>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</si>
  <si>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</si>
  <si>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</si>
  <si>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</si>
  <si>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</si>
  <si>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</si>
  <si>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</si>
  <si>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</si>
  <si>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</si>
  <si>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</si>
  <si>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</si>
  <si>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</si>
  <si>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</si>
  <si>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</si>
  <si>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</si>
  <si>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</si>
  <si>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</si>
  <si>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</si>
  <si>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</si>
  <si>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</si>
  <si>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</si>
  <si>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</si>
  <si>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3/21/2016</t>
  </si>
  <si>
    <t>KWFT</t>
  </si>
  <si>
    <t>Well paid</t>
  </si>
  <si>
    <t>1/17/2017</t>
  </si>
  <si>
    <t>12/14/2017</t>
  </si>
  <si>
    <t>2/15/2018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</si>
  <si>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</si>
  <si>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</si>
  <si>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</si>
  <si>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</si>
  <si>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</si>
  <si>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</si>
  <si>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</si>
  <si>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</si>
  <si>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</si>
  <si>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</si>
  <si>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</si>
  <si>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</si>
  <si>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2018/2/15</t>
  </si>
  <si>
    <t>Loan terms</t>
  </si>
  <si>
    <t>Expected disbursement date</t>
  </si>
  <si>
    <t>Expected first repayment date</t>
  </si>
  <si>
    <t>2018/3/15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</si>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</sst>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Tea,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1.198157215013053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0.03737847222222222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7109.147236656019</v>
      </c>
    </row>
    <row r="18" spans="1:7">
      <c r="B18" s="1" t="s">
        <v>12</v>
      </c>
      <c r="C18" s="36">
        <f>MIN(Output!B6:M6)</f>
        <v>-16043.82499434926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33450.53285459452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39800</v>
      </c>
    </row>
    <row r="25" spans="1:7">
      <c r="B25" s="1" t="s">
        <v>18</v>
      </c>
      <c r="C25" s="36">
        <f>MAX(Inputs!A56:A60)</f>
        <v>96000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-16043.82499434926</v>
      </c>
      <c r="C6" s="51">
        <f>C30-C88</f>
        <v>-2287.824994349259</v>
      </c>
      <c r="D6" s="51">
        <f>D30-D88</f>
        <v>-2287.824994349259</v>
      </c>
      <c r="E6" s="51">
        <f>E30-E88</f>
        <v>-2887.824994349259</v>
      </c>
      <c r="F6" s="51">
        <f>F30-F88</f>
        <v>-2287.824994349259</v>
      </c>
      <c r="G6" s="51">
        <f>G30-G88</f>
        <v>1320.721073059439</v>
      </c>
      <c r="H6" s="51">
        <f>H30-H88</f>
        <v>7284.318258145391</v>
      </c>
      <c r="I6" s="51">
        <f>I30-I88</f>
        <v>-2287.824994349259</v>
      </c>
      <c r="J6" s="51">
        <f>J30-J88</f>
        <v>-2287.824994349259</v>
      </c>
      <c r="K6" s="51">
        <f>K30-K88</f>
        <v>-2287.824994349259</v>
      </c>
      <c r="L6" s="51">
        <f>L30-L88</f>
        <v>-2287.824994349259</v>
      </c>
      <c r="M6" s="51">
        <f>M30-M88</f>
        <v>33450.53285459452</v>
      </c>
      <c r="N6" s="51">
        <f>N30-N88</f>
        <v>-6893.824994349259</v>
      </c>
      <c r="O6" s="51">
        <f>O30-O88</f>
        <v>-2287.824994349259</v>
      </c>
      <c r="P6" s="51">
        <f>P30-P88</f>
        <v>-2287.824994349259</v>
      </c>
      <c r="Q6" s="51">
        <f>Q30-Q88</f>
        <v>-2887.824994349259</v>
      </c>
      <c r="R6" s="51">
        <f>R30-R88</f>
        <v>-2287.824994349259</v>
      </c>
      <c r="S6" s="51">
        <f>S30-S88</f>
        <v>1320.721073059439</v>
      </c>
      <c r="T6" s="51">
        <f>T30-T88</f>
        <v>7284.318258145391</v>
      </c>
      <c r="U6" s="51">
        <f>U30-U88</f>
        <v>-2287.824994349259</v>
      </c>
      <c r="V6" s="51">
        <f>V30-V88</f>
        <v>-2287.824994349259</v>
      </c>
      <c r="W6" s="51">
        <f>W30-W88</f>
        <v>-2287.824994349259</v>
      </c>
      <c r="X6" s="51">
        <f>X30-X88</f>
        <v>-2287.824994349259</v>
      </c>
      <c r="Y6" s="51">
        <f>Y30-Y88</f>
        <v>33450.53285459452</v>
      </c>
      <c r="Z6" s="51">
        <f>SUMIF($B$13:$Y$13,"Yes",B6:Y6)</f>
        <v>215.32224230676</v>
      </c>
      <c r="AA6" s="51">
        <f>AA30-AA88</f>
        <v>7109.147236656019</v>
      </c>
      <c r="AB6" s="51">
        <f>AB30-AB88</f>
        <v>23368.29447331207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-16382</v>
      </c>
      <c r="I7" s="80">
        <f>IF(ISERROR(VLOOKUP(MONTH(I5),Inputs!$D$66:$D$71,1,0)),"",INDEX(Inputs!$B$66:$B$71,MATCH(MONTH(Output!I5),Inputs!$D$66:$D$71,0))-INDEX(Inputs!$C$66:$C$71,MATCH(MONTH(Output!I5),Inputs!$D$66:$D$71,0)))</f>
        <v>-264</v>
      </c>
      <c r="J7" s="80">
        <f>IF(ISERROR(VLOOKUP(MONTH(J5),Inputs!$D$66:$D$71,1,0)),"",INDEX(Inputs!$B$66:$B$71,MATCH(MONTH(Output!J5),Inputs!$D$66:$D$71,0))-INDEX(Inputs!$C$66:$C$71,MATCH(MONTH(Output!J5),Inputs!$D$66:$D$71,0)))</f>
        <v>297</v>
      </c>
      <c r="K7" s="80">
        <f>IF(ISERROR(VLOOKUP(MONTH(K5),Inputs!$D$66:$D$71,1,0)),"",INDEX(Inputs!$B$66:$B$71,MATCH(MONTH(Output!K5),Inputs!$D$66:$D$71,0))-INDEX(Inputs!$C$66:$C$71,MATCH(MONTH(Output!K5),Inputs!$D$66:$D$71,0)))</f>
        <v>-33</v>
      </c>
      <c r="L7" s="80">
        <f>IF(ISERROR(VLOOKUP(MONTH(L5),Inputs!$D$66:$D$71,1,0)),"",INDEX(Inputs!$B$66:$B$71,MATCH(MONTH(Output!L5),Inputs!$D$66:$D$71,0))-INDEX(Inputs!$C$66:$C$71,MATCH(MONTH(Output!L5),Inputs!$D$66:$D$71,0)))</f>
        <v>327</v>
      </c>
      <c r="M7" s="80">
        <f>IF(ISERROR(VLOOKUP(MONTH(M5),Inputs!$D$66:$D$71,1,0)),"",INDEX(Inputs!$B$66:$B$71,MATCH(MONTH(Output!M5),Inputs!$D$66:$D$71,0))-INDEX(Inputs!$C$66:$C$71,MATCH(MONTH(Output!M5),Inputs!$D$66:$D$71,0)))</f>
        <v>-322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-16382</v>
      </c>
      <c r="U7" s="80">
        <f>IF(ISERROR(VLOOKUP(MONTH(U5),Inputs!$D$66:$D$71,1,0)),"",INDEX(Inputs!$B$66:$B$71,MATCH(MONTH(Output!U5),Inputs!$D$66:$D$71,0))-INDEX(Inputs!$C$66:$C$71,MATCH(MONTH(Output!U5),Inputs!$D$66:$D$71,0)))</f>
        <v>-264</v>
      </c>
      <c r="V7" s="80">
        <f>IF(ISERROR(VLOOKUP(MONTH(V5),Inputs!$D$66:$D$71,1,0)),"",INDEX(Inputs!$B$66:$B$71,MATCH(MONTH(Output!V5),Inputs!$D$66:$D$71,0))-INDEX(Inputs!$C$66:$C$71,MATCH(MONTH(Output!V5),Inputs!$D$66:$D$71,0)))</f>
        <v>297</v>
      </c>
      <c r="W7" s="80">
        <f>IF(ISERROR(VLOOKUP(MONTH(W5),Inputs!$D$66:$D$71,1,0)),"",INDEX(Inputs!$B$66:$B$71,MATCH(MONTH(Output!W5),Inputs!$D$66:$D$71,0))-INDEX(Inputs!$C$66:$C$71,MATCH(MONTH(Output!W5),Inputs!$D$66:$D$71,0)))</f>
        <v>-33</v>
      </c>
      <c r="X7" s="80">
        <f>IF(ISERROR(VLOOKUP(MONTH(X5),Inputs!$D$66:$D$71,1,0)),"",INDEX(Inputs!$B$66:$B$71,MATCH(MONTH(Output!X5),Inputs!$D$66:$D$71,0))-INDEX(Inputs!$C$66:$C$71,MATCH(MONTH(Output!X5),Inputs!$D$66:$D$71,0)))</f>
        <v>327</v>
      </c>
      <c r="Y7" s="80">
        <f>IF(ISERROR(VLOOKUP(MONTH(Y5),Inputs!$D$66:$D$71,1,0)),"",INDEX(Inputs!$B$66:$B$71,MATCH(MONTH(Output!Y5),Inputs!$D$66:$D$71,0))-INDEX(Inputs!$C$66:$C$71,MATCH(MONTH(Output!Y5),Inputs!$D$66:$D$71,0)))</f>
        <v>-322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123956.1750056507</v>
      </c>
      <c r="C11" s="80">
        <f>C6+C9-C10</f>
        <v>-16287.82499434926</v>
      </c>
      <c r="D11" s="80">
        <f>D6+D9-D10</f>
        <v>-16287.82499434926</v>
      </c>
      <c r="E11" s="80">
        <f>E6+E9-E10</f>
        <v>-16887.82499434926</v>
      </c>
      <c r="F11" s="80">
        <f>F6+F9-F10</f>
        <v>-16287.82499434926</v>
      </c>
      <c r="G11" s="80">
        <f>G6+G9-G10</f>
        <v>-12679.27892694056</v>
      </c>
      <c r="H11" s="80">
        <f>H6+H9-H10</f>
        <v>-6715.681741854609</v>
      </c>
      <c r="I11" s="80">
        <f>I6+I9-I10</f>
        <v>-16287.82499434926</v>
      </c>
      <c r="J11" s="80">
        <f>J6+J9-J10</f>
        <v>-16287.82499434926</v>
      </c>
      <c r="K11" s="80">
        <f>K6+K9-K10</f>
        <v>-16287.82499434926</v>
      </c>
      <c r="L11" s="80">
        <f>L6+L9-L10</f>
        <v>-16287.82499434926</v>
      </c>
      <c r="M11" s="80">
        <f>M6+M9-M10</f>
        <v>19450.53285459452</v>
      </c>
      <c r="N11" s="80">
        <f>N6+N9-N10</f>
        <v>-20893.82499434926</v>
      </c>
      <c r="O11" s="80">
        <f>O6+O9-O10</f>
        <v>-2287.824994349259</v>
      </c>
      <c r="P11" s="80">
        <f>P6+P9-P10</f>
        <v>-2287.824994349259</v>
      </c>
      <c r="Q11" s="80">
        <f>Q6+Q9-Q10</f>
        <v>-2887.824994349259</v>
      </c>
      <c r="R11" s="80">
        <f>R6+R9-R10</f>
        <v>-2287.824994349259</v>
      </c>
      <c r="S11" s="80">
        <f>S6+S9-S10</f>
        <v>1320.721073059439</v>
      </c>
      <c r="T11" s="80">
        <f>T6+T9-T10</f>
        <v>7284.318258145391</v>
      </c>
      <c r="U11" s="80">
        <f>U6+U9-U10</f>
        <v>-2287.824994349259</v>
      </c>
      <c r="V11" s="80">
        <f>V6+V9-V10</f>
        <v>-2287.824994349259</v>
      </c>
      <c r="W11" s="80">
        <f>W6+W9-W10</f>
        <v>-2287.824994349259</v>
      </c>
      <c r="X11" s="80">
        <f>X6+X9-X10</f>
        <v>-2287.824994349259</v>
      </c>
      <c r="Y11" s="80">
        <f>Y6+Y9-Y10</f>
        <v>33450.53285459452</v>
      </c>
      <c r="Z11" s="85">
        <f>SUMIF($B$13:$Y$13,"Yes",B11:Y11)</f>
        <v>-27784.67775769323</v>
      </c>
      <c r="AA11" s="80">
        <f>SUM(B11:M11)</f>
        <v>-6890.852763343966</v>
      </c>
      <c r="AB11" s="46">
        <f>SUM(B11:Y11)</f>
        <v>-4631.705526687932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0.1150669011184879</v>
      </c>
      <c r="D12" s="82">
        <f>IF(D13="Yes",IF(SUM($B$10:D10)/(SUM($B$6:D6)+SUM($B$9:D9))&lt;0,999.99,SUM($B$10:D10)/(SUM($B$6:D6)+SUM($B$9:D9))),"")</f>
        <v>0.2345441184483311</v>
      </c>
      <c r="E12" s="82">
        <f>IF(E13="Yes",IF(SUM($B$10:E10)/(SUM($B$6:E6)+SUM($B$9:E9))&lt;0,999.99,SUM($B$10:E10)/(SUM($B$6:E6)+SUM($B$9:E9))),"")</f>
        <v>0.3605376130165305</v>
      </c>
      <c r="F12" s="82">
        <f>IF(F13="Yes",IF(SUM($B$10:F10)/(SUM($B$6:F6)+SUM($B$9:F9))&lt;0,999.99,SUM($B$10:F10)/(SUM($B$6:F6)+SUM($B$9:F9))),"")</f>
        <v>0.4903468436539674</v>
      </c>
      <c r="G12" s="82">
        <f>IF(G13="Yes",IF(SUM($B$10:G10)/(SUM($B$6:G6)+SUM($B$9:G9))&lt;0,999.99,SUM($B$10:G10)/(SUM($B$6:G6)+SUM($B$9:G9))),"")</f>
        <v>0.6059263259599345</v>
      </c>
      <c r="H12" s="82">
        <f>IF(H13="Yes",IF(SUM($B$10:H10)/(SUM($B$6:H6)+SUM($B$9:H9))&lt;0,999.99,SUM($B$10:H10)/(SUM($B$6:H6)+SUM($B$9:H9))),"")</f>
        <v>0.6839838659453517</v>
      </c>
      <c r="I12" s="82">
        <f>IF(I13="Yes",IF(SUM($B$10:I10)/(SUM($B$6:I6)+SUM($B$9:I9))&lt;0,999.99,SUM($B$10:I10)/(SUM($B$6:I6)+SUM($B$9:I9))),"")</f>
        <v>0.8131289501887</v>
      </c>
      <c r="J12" s="82">
        <f>IF(J13="Yes",IF(SUM($B$10:J10)/(SUM($B$6:J6)+SUM($B$9:J9))&lt;0,999.99,SUM($B$10:J10)/(SUM($B$6:J6)+SUM($B$9:J9))),"")</f>
        <v>0.947271931669397</v>
      </c>
      <c r="K12" s="82">
        <f>IF(K13="Yes",IF(SUM($B$10:K10)/(SUM($B$6:K6)+SUM($B$9:K9))&lt;0,999.99,SUM($B$10:K10)/(SUM($B$6:K6)+SUM($B$9:K9))),"")</f>
        <v>1.08670866201377</v>
      </c>
      <c r="L12" s="82">
        <f>IF(L13="Yes",IF(SUM($B$10:L10)/(SUM($B$6:L6)+SUM($B$9:L9))&lt;0,999.99,SUM($B$10:L10)/(SUM($B$6:L6)+SUM($B$9:L9))),"")</f>
        <v>1.231758813541333</v>
      </c>
      <c r="M12" s="82">
        <f>IF(M13="Yes",IF(SUM($B$10:M10)/(SUM($B$6:M6)+SUM($B$9:M9))&lt;0,999.99,SUM($B$10:M10)/(SUM($B$6:M6)+SUM($B$9:M9))),"")</f>
        <v>1.046841769480579</v>
      </c>
      <c r="N12" s="82">
        <f>IF(N13="Yes",IF(SUM($B$10:N10)/(SUM($B$6:N6)+SUM($B$9:N9))&lt;0,999.99,SUM($B$10:N10)/(SUM($B$6:N6)+SUM($B$9:N9))),"")</f>
        <v>1.198157215013053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7976.786043745542</v>
      </c>
      <c r="H18" s="36">
        <f>T18</f>
        <v>9572.14325249465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7976.786043745542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9572.14325249465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17548.92929624019</v>
      </c>
      <c r="AA18" s="36">
        <f>SUM(B18:M18)</f>
        <v>17548.92929624019</v>
      </c>
      <c r="AB18" s="36">
        <f>SUM(B18:Y18)</f>
        <v>35097.85859248038</v>
      </c>
      <c r="AC18" s="43"/>
      <c r="AD18" s="43"/>
    </row>
    <row r="19" spans="1:30">
      <c r="A19" t="str">
        <f>IF(Calculations!A5&lt;&gt;Parameters!$A$18,IF(Calculations!A5=0,"",Calculations!A5),Inputs!B8)</f>
        <v>Tea</v>
      </c>
      <c r="B19" s="36">
        <f>N19</f>
        <v>1302.960963242742</v>
      </c>
      <c r="C19" s="36">
        <f>O19</f>
        <v>1302.960963242742</v>
      </c>
      <c r="D19" s="36">
        <f>P19</f>
        <v>1302.960963242742</v>
      </c>
      <c r="E19" s="36">
        <f>Q19</f>
        <v>1302.960963242742</v>
      </c>
      <c r="F19" s="36">
        <f>R19</f>
        <v>1302.960963242742</v>
      </c>
      <c r="G19" s="36">
        <f>S19</f>
        <v>1302.960963242742</v>
      </c>
      <c r="H19" s="36">
        <f>T19</f>
        <v>1302.960963242742</v>
      </c>
      <c r="I19" s="36">
        <f>U19</f>
        <v>1302.960963242742</v>
      </c>
      <c r="J19" s="36">
        <f>V19</f>
        <v>1302.960963242742</v>
      </c>
      <c r="K19" s="36">
        <f>W19</f>
        <v>1302.960963242742</v>
      </c>
      <c r="L19" s="36">
        <f>X19</f>
        <v>1302.960963242742</v>
      </c>
      <c r="M19" s="36">
        <f>Y19</f>
        <v>37041.31881218652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1302.960963242742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1302.960963242742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1302.960963242742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1302.960963242742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1302.960963242742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1302.960963242742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1302.960963242742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1302.960963242742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1302.960963242742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1302.960963242742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1302.960963242742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37041.31881218652</v>
      </c>
      <c r="Z19" s="36">
        <f>SUMIF($B$13:$Y$13,"Yes",B19:Y19)</f>
        <v>52676.85037109943</v>
      </c>
      <c r="AA19" s="36">
        <f>SUM(B19:M19)</f>
        <v>51373.88940785668</v>
      </c>
      <c r="AB19" s="36">
        <f>SUM(B19:Y19)</f>
        <v>102747.7788157134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1302.960963242742</v>
      </c>
      <c r="C30" s="19">
        <f>SUM(C18:C29)</f>
        <v>1302.960963242742</v>
      </c>
      <c r="D30" s="19">
        <f>SUM(D18:D29)</f>
        <v>1302.960963242742</v>
      </c>
      <c r="E30" s="19">
        <f>SUM(E18:E29)</f>
        <v>1302.960963242742</v>
      </c>
      <c r="F30" s="19">
        <f>SUM(F18:F29)</f>
        <v>1302.960963242742</v>
      </c>
      <c r="G30" s="19">
        <f>SUM(G18:G29)</f>
        <v>9279.747006988284</v>
      </c>
      <c r="H30" s="19">
        <f>SUM(H18:H29)</f>
        <v>10875.10421573739</v>
      </c>
      <c r="I30" s="19">
        <f>SUM(I18:I29)</f>
        <v>1302.960963242742</v>
      </c>
      <c r="J30" s="19">
        <f>SUM(J18:J29)</f>
        <v>1302.960963242742</v>
      </c>
      <c r="K30" s="19">
        <f>SUM(K18:K29)</f>
        <v>1302.960963242742</v>
      </c>
      <c r="L30" s="19">
        <f>SUM(L18:L29)</f>
        <v>1302.960963242742</v>
      </c>
      <c r="M30" s="19">
        <f>SUM(M18:M29)</f>
        <v>37041.31881218652</v>
      </c>
      <c r="N30" s="19">
        <f>SUM(N18:N29)</f>
        <v>1302.960963242742</v>
      </c>
      <c r="O30" s="19">
        <f>SUM(O18:O29)</f>
        <v>1302.960963242742</v>
      </c>
      <c r="P30" s="19">
        <f>SUM(P18:P29)</f>
        <v>1302.960963242742</v>
      </c>
      <c r="Q30" s="19">
        <f>SUM(Q18:Q29)</f>
        <v>1302.960963242742</v>
      </c>
      <c r="R30" s="19">
        <f>SUM(R18:R29)</f>
        <v>1302.960963242742</v>
      </c>
      <c r="S30" s="19">
        <f>SUM(S18:S29)</f>
        <v>9279.747006988284</v>
      </c>
      <c r="T30" s="19">
        <f>SUM(T18:T29)</f>
        <v>10875.10421573739</v>
      </c>
      <c r="U30" s="19">
        <f>SUM(U18:U29)</f>
        <v>1302.960963242742</v>
      </c>
      <c r="V30" s="19">
        <f>SUM(V18:V29)</f>
        <v>1302.960963242742</v>
      </c>
      <c r="W30" s="19">
        <f>SUM(W18:W29)</f>
        <v>1302.960963242742</v>
      </c>
      <c r="X30" s="19">
        <f>SUM(X18:X29)</f>
        <v>1302.960963242742</v>
      </c>
      <c r="Y30" s="19">
        <f>SUM(Y18:Y29)</f>
        <v>37041.31881218652</v>
      </c>
      <c r="Z30" s="19">
        <f>SUMIF($B$13:$Y$13,"Yes",B30:Y30)</f>
        <v>70225.77966733962</v>
      </c>
      <c r="AA30" s="19">
        <f>SUM(B30:M30)</f>
        <v>68922.81870409688</v>
      </c>
      <c r="AB30" s="19">
        <f>SUM(B30:Y30)</f>
        <v>137845.6374081938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Maize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Tea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606.0000000000001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606.0000000000001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606.0000000000001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Tea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Tea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4368.239976336844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4368.239976336844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4368.239976336844</v>
      </c>
      <c r="AA54" s="46">
        <f>SUM(B54:M54)</f>
        <v>4368.239976336844</v>
      </c>
      <c r="AB54" s="46">
        <f>SUM(B54:Y54)</f>
        <v>8736.479952673688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4368.239976336844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4368.239976336844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4368.239976336844</v>
      </c>
      <c r="AA55" s="46">
        <f>SUM(B55:M55)</f>
        <v>4368.239976336844</v>
      </c>
      <c r="AB55" s="46">
        <f>SUM(B55:Y55)</f>
        <v>8736.479952673688</v>
      </c>
    </row>
    <row r="56" spans="1:30" hidden="true" outlineLevel="1">
      <c r="A56" s="181" t="str">
        <f>Calculations!$A$5</f>
        <v>Tea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Tea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Tea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903.2859575920011</v>
      </c>
      <c r="C81" s="46">
        <f>(SUM($AA$18:$AA$29)-SUM($AA$36,$AA$42,$AA$48,$AA$54,$AA$60,$AA$66,$AA$72:$AA$79))*Parameters!$B$37/12</f>
        <v>903.2859575920011</v>
      </c>
      <c r="D81" s="46">
        <f>(SUM($AA$18:$AA$29)-SUM($AA$36,$AA$42,$AA$48,$AA$54,$AA$60,$AA$66,$AA$72:$AA$79))*Parameters!$B$37/12</f>
        <v>903.2859575920011</v>
      </c>
      <c r="E81" s="46">
        <f>(SUM($AA$18:$AA$29)-SUM($AA$36,$AA$42,$AA$48,$AA$54,$AA$60,$AA$66,$AA$72:$AA$79))*Parameters!$B$37/12</f>
        <v>903.2859575920011</v>
      </c>
      <c r="F81" s="46">
        <f>(SUM($AA$18:$AA$29)-SUM($AA$36,$AA$42,$AA$48,$AA$54,$AA$60,$AA$66,$AA$72:$AA$79))*Parameters!$B$37/12</f>
        <v>903.2859575920011</v>
      </c>
      <c r="G81" s="46">
        <f>(SUM($AA$18:$AA$29)-SUM($AA$36,$AA$42,$AA$48,$AA$54,$AA$60,$AA$66,$AA$72:$AA$79))*Parameters!$B$37/12</f>
        <v>903.2859575920011</v>
      </c>
      <c r="H81" s="46">
        <f>(SUM($AA$18:$AA$29)-SUM($AA$36,$AA$42,$AA$48,$AA$54,$AA$60,$AA$66,$AA$72:$AA$79))*Parameters!$B$37/12</f>
        <v>903.2859575920011</v>
      </c>
      <c r="I81" s="46">
        <f>(SUM($AA$18:$AA$29)-SUM($AA$36,$AA$42,$AA$48,$AA$54,$AA$60,$AA$66,$AA$72:$AA$79))*Parameters!$B$37/12</f>
        <v>903.2859575920011</v>
      </c>
      <c r="J81" s="46">
        <f>(SUM($AA$18:$AA$29)-SUM($AA$36,$AA$42,$AA$48,$AA$54,$AA$60,$AA$66,$AA$72:$AA$79))*Parameters!$B$37/12</f>
        <v>903.2859575920011</v>
      </c>
      <c r="K81" s="46">
        <f>(SUM($AA$18:$AA$29)-SUM($AA$36,$AA$42,$AA$48,$AA$54,$AA$60,$AA$66,$AA$72:$AA$79))*Parameters!$B$37/12</f>
        <v>903.2859575920011</v>
      </c>
      <c r="L81" s="46">
        <f>(SUM($AA$18:$AA$29)-SUM($AA$36,$AA$42,$AA$48,$AA$54,$AA$60,$AA$66,$AA$72:$AA$79))*Parameters!$B$37/12</f>
        <v>903.2859575920011</v>
      </c>
      <c r="M81" s="46">
        <f>(SUM($AA$18:$AA$29)-SUM($AA$36,$AA$42,$AA$48,$AA$54,$AA$60,$AA$66,$AA$72:$AA$79))*Parameters!$B$37/12</f>
        <v>903.2859575920011</v>
      </c>
      <c r="N81" s="46">
        <f>(SUM($AA$18:$AA$29)-SUM($AA$36,$AA$42,$AA$48,$AA$54,$AA$60,$AA$66,$AA$72:$AA$79))*Parameters!$B$37/12</f>
        <v>903.2859575920011</v>
      </c>
      <c r="O81" s="46">
        <f>(SUM($AA$18:$AA$29)-SUM($AA$36,$AA$42,$AA$48,$AA$54,$AA$60,$AA$66,$AA$72:$AA$79))*Parameters!$B$37/12</f>
        <v>903.2859575920011</v>
      </c>
      <c r="P81" s="46">
        <f>(SUM($AA$18:$AA$29)-SUM($AA$36,$AA$42,$AA$48,$AA$54,$AA$60,$AA$66,$AA$72:$AA$79))*Parameters!$B$37/12</f>
        <v>903.2859575920011</v>
      </c>
      <c r="Q81" s="46">
        <f>(SUM($AA$18:$AA$29)-SUM($AA$36,$AA$42,$AA$48,$AA$54,$AA$60,$AA$66,$AA$72:$AA$79))*Parameters!$B$37/12</f>
        <v>903.2859575920011</v>
      </c>
      <c r="R81" s="46">
        <f>(SUM($AA$18:$AA$29)-SUM($AA$36,$AA$42,$AA$48,$AA$54,$AA$60,$AA$66,$AA$72:$AA$79))*Parameters!$B$37/12</f>
        <v>903.2859575920011</v>
      </c>
      <c r="S81" s="46">
        <f>(SUM($AA$18:$AA$29)-SUM($AA$36,$AA$42,$AA$48,$AA$54,$AA$60,$AA$66,$AA$72:$AA$79))*Parameters!$B$37/12</f>
        <v>903.2859575920011</v>
      </c>
      <c r="T81" s="46">
        <f>(SUM($AA$18:$AA$29)-SUM($AA$36,$AA$42,$AA$48,$AA$54,$AA$60,$AA$66,$AA$72:$AA$79))*Parameters!$B$37/12</f>
        <v>903.2859575920011</v>
      </c>
      <c r="U81" s="46">
        <f>(SUM($AA$18:$AA$29)-SUM($AA$36,$AA$42,$AA$48,$AA$54,$AA$60,$AA$66,$AA$72:$AA$79))*Parameters!$B$37/12</f>
        <v>903.2859575920011</v>
      </c>
      <c r="V81" s="46">
        <f>(SUM($AA$18:$AA$29)-SUM($AA$36,$AA$42,$AA$48,$AA$54,$AA$60,$AA$66,$AA$72:$AA$79))*Parameters!$B$37/12</f>
        <v>903.2859575920011</v>
      </c>
      <c r="W81" s="46">
        <f>(SUM($AA$18:$AA$29)-SUM($AA$36,$AA$42,$AA$48,$AA$54,$AA$60,$AA$66,$AA$72:$AA$79))*Parameters!$B$37/12</f>
        <v>903.2859575920011</v>
      </c>
      <c r="X81" s="46">
        <f>(SUM($AA$18:$AA$29)-SUM($AA$36,$AA$42,$AA$48,$AA$54,$AA$60,$AA$66,$AA$72:$AA$79))*Parameters!$B$37/12</f>
        <v>903.2859575920011</v>
      </c>
      <c r="Y81" s="46">
        <f>(SUM($AA$18:$AA$29)-SUM($AA$36,$AA$42,$AA$48,$AA$54,$AA$60,$AA$66,$AA$72:$AA$79))*Parameters!$B$37/12</f>
        <v>903.2859575920011</v>
      </c>
      <c r="Z81" s="46">
        <f>SUMIF($B$13:$Y$13,"Yes",B81:Y81)</f>
        <v>11742.71744869601</v>
      </c>
      <c r="AA81" s="46">
        <f>SUM(B81:M81)</f>
        <v>10839.43149110401</v>
      </c>
      <c r="AB81" s="46">
        <f>SUM(B81:Y81)</f>
        <v>21678.86298220803</v>
      </c>
    </row>
    <row r="82" spans="1:30">
      <c r="A82" s="16" t="s">
        <v>52</v>
      </c>
      <c r="B82" s="46">
        <f>SUM(B83:B87)</f>
        <v>9150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9150</v>
      </c>
      <c r="AA82" s="46">
        <f>SUM(B82:M82)</f>
        <v>9150</v>
      </c>
      <c r="AB82" s="46">
        <f>SUM(B82:Y82)</f>
        <v>9150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9150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9150</v>
      </c>
      <c r="AA84" s="46">
        <f>SUM(B84:M84)</f>
        <v>9150</v>
      </c>
      <c r="AB84" s="46">
        <f>SUM(B84:Y84)</f>
        <v>9150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17346.785957592</v>
      </c>
      <c r="C88" s="19">
        <f>SUM(C72:C82,C66,C60,C54,C48,C42,C36)</f>
        <v>3590.785957592001</v>
      </c>
      <c r="D88" s="19">
        <f>SUM(D72:D82,D66,D60,D54,D48,D42,D36)</f>
        <v>3590.785957592001</v>
      </c>
      <c r="E88" s="19">
        <f>SUM(E72:E82,E66,E60,E54,E48,E42,E36)</f>
        <v>4190.785957592001</v>
      </c>
      <c r="F88" s="19">
        <f>SUM(F72:F82,F66,F60,F54,F48,F42,F36)</f>
        <v>3590.785957592001</v>
      </c>
      <c r="G88" s="19">
        <f>SUM(G72:G82,G66,G60,G54,G48,G42,G36)</f>
        <v>7959.025933928845</v>
      </c>
      <c r="H88" s="19">
        <f>SUM(H72:H82,H66,H60,H54,H48,H42,H36)</f>
        <v>3590.785957592001</v>
      </c>
      <c r="I88" s="19">
        <f>SUM(I72:I82,I66,I60,I54,I48,I42,I36)</f>
        <v>3590.785957592001</v>
      </c>
      <c r="J88" s="19">
        <f>SUM(J72:J82,J66,J60,J54,J48,J42,J36)</f>
        <v>3590.785957592001</v>
      </c>
      <c r="K88" s="19">
        <f>SUM(K72:K82,K66,K60,K54,K48,K42,K36)</f>
        <v>3590.785957592001</v>
      </c>
      <c r="L88" s="19">
        <f>SUM(L72:L82,L66,L60,L54,L48,L42,L36)</f>
        <v>3590.785957592001</v>
      </c>
      <c r="M88" s="19">
        <f>SUM(M72:M82,M66,M60,M54,M48,M42,M36)</f>
        <v>3590.785957592001</v>
      </c>
      <c r="N88" s="19">
        <f>SUM(N72:N82,N66,N60,N54,N48,N42,N36)</f>
        <v>8196.785957592001</v>
      </c>
      <c r="O88" s="19">
        <f>SUM(O72:O82,O66,O60,O54,O48,O42,O36)</f>
        <v>3590.785957592001</v>
      </c>
      <c r="P88" s="19">
        <f>SUM(P72:P82,P66,P60,P54,P48,P42,P36)</f>
        <v>3590.785957592001</v>
      </c>
      <c r="Q88" s="19">
        <f>SUM(Q72:Q82,Q66,Q60,Q54,Q48,Q42,Q36)</f>
        <v>4190.785957592001</v>
      </c>
      <c r="R88" s="19">
        <f>SUM(R72:R82,R66,R60,R54,R48,R42,R36)</f>
        <v>3590.785957592001</v>
      </c>
      <c r="S88" s="19">
        <f>SUM(S72:S82,S66,S60,S54,S48,S42,S36)</f>
        <v>7959.025933928845</v>
      </c>
      <c r="T88" s="19">
        <f>SUM(T72:T82,T66,T60,T54,T48,T42,T36)</f>
        <v>3590.785957592001</v>
      </c>
      <c r="U88" s="19">
        <f>SUM(U72:U82,U66,U60,U54,U48,U42,U36)</f>
        <v>3590.785957592001</v>
      </c>
      <c r="V88" s="19">
        <f>SUM(V72:V82,V66,V60,V54,V48,V42,V36)</f>
        <v>3590.785957592001</v>
      </c>
      <c r="W88" s="19">
        <f>SUM(W72:W82,W66,W60,W54,W48,W42,W36)</f>
        <v>3590.785957592001</v>
      </c>
      <c r="X88" s="19">
        <f>SUM(X72:X82,X66,X60,X54,X48,X42,X36)</f>
        <v>3590.785957592001</v>
      </c>
      <c r="Y88" s="19">
        <f>SUM(Y72:Y82,Y66,Y60,Y54,Y48,Y42,Y36)</f>
        <v>3590.785957592001</v>
      </c>
      <c r="Z88" s="19">
        <f>SUMIF($B$13:$Y$13,"Yes",B88:Y88)</f>
        <v>70010.45742503286</v>
      </c>
      <c r="AA88" s="19">
        <f>SUM(B88:M88)</f>
        <v>61813.67146744086</v>
      </c>
      <c r="AB88" s="19">
        <f>SUM(B88:Y88)</f>
        <v>114477.3429348817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20000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1200000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4320000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21475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161475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112</v>
      </c>
      <c r="J19" s="145">
        <v>100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100</v>
      </c>
    </row>
    <row r="27" spans="1:48">
      <c r="A27" s="14" t="s">
        <v>115</v>
      </c>
    </row>
    <row r="29" spans="1:48">
      <c r="A29" s="45" t="s">
        <v>116</v>
      </c>
      <c r="B29" s="156">
        <v>0</v>
      </c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800000</v>
      </c>
    </row>
    <row r="46" spans="1:48" customHeight="1" ht="30">
      <c r="A46" s="57" t="s">
        <v>132</v>
      </c>
      <c r="B46" s="161">
        <v>250000</v>
      </c>
    </row>
    <row r="47" spans="1:48" customHeight="1" ht="30">
      <c r="A47" s="57" t="s">
        <v>133</v>
      </c>
      <c r="B47" s="161">
        <v>20000</v>
      </c>
    </row>
    <row r="48" spans="1:48" customHeight="1" ht="30">
      <c r="A48" s="57" t="s">
        <v>134</v>
      </c>
      <c r="B48" s="161">
        <v>1500000</v>
      </c>
    </row>
    <row r="49" spans="1:48" customHeight="1" ht="30">
      <c r="A49" s="57" t="s">
        <v>135</v>
      </c>
      <c r="B49" s="161">
        <v>150000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96000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90000</v>
      </c>
      <c r="B57" s="157">
        <v>7500</v>
      </c>
      <c r="C57" s="164" t="s">
        <v>147</v>
      </c>
      <c r="D57" s="165" t="s">
        <v>145</v>
      </c>
      <c r="E57" s="165" t="s">
        <v>92</v>
      </c>
      <c r="F57" s="165" t="s">
        <v>146</v>
      </c>
    </row>
    <row r="58" spans="1:48">
      <c r="A58" s="157">
        <v>13000</v>
      </c>
      <c r="B58" s="157">
        <v>13975</v>
      </c>
      <c r="C58" s="164" t="s">
        <v>148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149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149</v>
      </c>
      <c r="D60" s="167"/>
      <c r="E60" s="167" t="s">
        <v>92</v>
      </c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32397</v>
      </c>
      <c r="C66" s="163">
        <v>48779</v>
      </c>
      <c r="D66" s="49">
        <f>INDEX(Parameters!$D$79:$D$90,MATCH(Inputs!A66,Parameters!$C$79:$C$90,0))</f>
        <v>8</v>
      </c>
    </row>
    <row r="67" spans="1:48">
      <c r="A67" s="143" t="s">
        <v>154</v>
      </c>
      <c r="B67" s="157">
        <v>119315</v>
      </c>
      <c r="C67" s="165">
        <v>119579</v>
      </c>
      <c r="D67" s="49">
        <f>INDEX(Parameters!$D$79:$D$90,MATCH(Inputs!A67,Parameters!$C$79:$C$90,0))</f>
        <v>9</v>
      </c>
    </row>
    <row r="68" spans="1:48">
      <c r="A68" s="143" t="s">
        <v>155</v>
      </c>
      <c r="B68" s="157">
        <v>72278</v>
      </c>
      <c r="C68" s="165">
        <v>71981</v>
      </c>
      <c r="D68" s="49">
        <f>INDEX(Parameters!$D$79:$D$90,MATCH(Inputs!A68,Parameters!$C$79:$C$90,0))</f>
        <v>10</v>
      </c>
    </row>
    <row r="69" spans="1:48">
      <c r="A69" s="143" t="s">
        <v>156</v>
      </c>
      <c r="B69" s="157">
        <v>166151</v>
      </c>
      <c r="C69" s="165">
        <v>166184</v>
      </c>
      <c r="D69" s="49">
        <f>INDEX(Parameters!$D$79:$D$90,MATCH(Inputs!A69,Parameters!$C$79:$C$90,0))</f>
        <v>11</v>
      </c>
    </row>
    <row r="70" spans="1:48">
      <c r="A70" s="143" t="s">
        <v>157</v>
      </c>
      <c r="B70" s="157">
        <v>157206</v>
      </c>
      <c r="C70" s="165">
        <v>156879</v>
      </c>
      <c r="D70" s="49">
        <f>INDEX(Parameters!$D$79:$D$90,MATCH(Inputs!A70,Parameters!$C$79:$C$90,0))</f>
        <v>12</v>
      </c>
    </row>
    <row r="71" spans="1:48">
      <c r="A71" s="144" t="s">
        <v>158</v>
      </c>
      <c r="B71" s="158">
        <v>93570</v>
      </c>
      <c r="C71" s="167">
        <v>93892</v>
      </c>
      <c r="D71" s="49">
        <f>INDEX(Parameters!$D$79:$D$90,MATCH(Inputs!A71,Parameters!$C$79:$C$90,0))</f>
        <v>1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7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140000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949.6173861601835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15953.57208749108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2184.119988168422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Tea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839.7170547214236</v>
      </c>
      <c r="M5" s="30">
        <f>L5*H5</f>
        <v>839.7170547214236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32.2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51373.88940785668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0.6956521739130435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96000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90000</v>
      </c>
      <c r="B24" s="46">
        <f>SUM(C24:D24)</f>
        <v>7931.725888324873</v>
      </c>
      <c r="C24" s="46">
        <f>IF(Inputs!B57&gt;0,(Inputs!A57-Inputs!B57)/(DATE(YEAR(Inputs!$B$76),MONTH(Inputs!$B$76),DAY(Inputs!$B$76))-DATE(YEAR(Inputs!C57),MONTH(Inputs!C57),DAY(Inputs!C57)))*30,0)</f>
        <v>6281.725888324873</v>
      </c>
      <c r="D24" s="46">
        <f>IF(Inputs!B57&gt;0,Inputs!A57*0.22/12,0)</f>
        <v>1650</v>
      </c>
      <c r="E24" s="46">
        <f>IFERROR(ROUNDUP(Inputs!B57/B24,0),0)</f>
        <v>1</v>
      </c>
      <c r="H24" s="1"/>
    </row>
    <row r="25" spans="1:52">
      <c r="A25" s="46">
        <f>Inputs!A58</f>
        <v>13000</v>
      </c>
      <c r="B25" s="46">
        <f>SUM(C25:D25)</f>
        <v>-225.9523809523809</v>
      </c>
      <c r="C25" s="46">
        <f>IF(Inputs!B58&gt;0,(Inputs!A58-Inputs!B58)/(DATE(YEAR(Inputs!$B$76),MONTH(Inputs!$B$76),DAY(Inputs!$B$76))-DATE(YEAR(Inputs!C58),MONTH(Inputs!C58),DAY(Inputs!C58)))*30,0)</f>
        <v>-464.2857142857143</v>
      </c>
      <c r="D25" s="46">
        <f>IF(Inputs!B58&gt;0,Inputs!A58*0.22/12,0)</f>
        <v>238.3333333333333</v>
      </c>
      <c r="E25" s="46">
        <f>IFERROR(ROUNDUP(Inputs!B58/B25,0),0)</f>
        <v>-62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43174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164</v>
      </c>
      <c r="G33" s="128">
        <f>IF(Inputs!B79="","",DATE(YEAR(Inputs!B79),MONTH(Inputs!B79),DAY(Inputs!B79)))</f>
        <v>43146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43205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165</v>
      </c>
      <c r="G34" s="128">
        <f>IF(Inputs!B80="","",DATE(YEAR(Inputs!B80),MONTH(Inputs!B80),DAY(Inputs!B80)))</f>
        <v>43174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43235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167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43266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43296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43327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43358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43388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43419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231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43449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232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43480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43511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99</v>
      </c>
      <c r="B41" s="191" t="s">
        <v>316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129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233</v>
      </c>
      <c r="E53" s="10" t="s">
        <v>192</v>
      </c>
      <c r="F53" s="10" t="s">
        <v>252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316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316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316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316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316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316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316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170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229</v>
      </c>
      <c r="J76" s="11" t="s">
        <v>352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316</v>
      </c>
      <c r="F77" s="12" t="s">
        <v>316</v>
      </c>
      <c r="G77" s="12" t="s">
        <v>354</v>
      </c>
      <c r="H77" s="12" t="s">
        <v>129</v>
      </c>
      <c r="I77" s="12" t="s">
        <v>355</v>
      </c>
      <c r="J77" s="136" t="s">
        <v>96</v>
      </c>
      <c r="K77" s="12" t="s">
        <v>316</v>
      </c>
      <c r="AJ77" s="12"/>
    </row>
    <row r="78" spans="1:36">
      <c r="A78" t="s">
        <v>316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112</v>
      </c>
      <c r="H78" s="12" t="s">
        <v>319</v>
      </c>
      <c r="I78" s="12" t="s">
        <v>359</v>
      </c>
      <c r="J78" s="70" t="s">
        <v>360</v>
      </c>
      <c r="K78" s="12" t="s">
        <v>316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170</v>
      </c>
      <c r="J79" s="70" t="s">
        <v>364</v>
      </c>
      <c r="K79" s="12" t="s">
        <v>316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