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<sst xmlns="http://schemas.openxmlformats.org/spreadsheetml/2006/main" uniqueCount="372">
  <si>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</si>
  <si>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</si>
  <si>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</si>
  <si>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</si>
  <si>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</si>
  <si>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</si>
  <si>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</si>
  <si>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</si>
  <si>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</si>
  <si>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</si>
  <si>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</si>
  <si>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</si>
  <si>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</si>
  <si>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</si>
  <si>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</si>
  <si>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</si>
  <si>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</si>
  <si>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</si>
  <si>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</si>
  <si>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</si>
  <si>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</si>
  <si>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</si>
  <si>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</si>
  <si>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</si>
  <si>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</si>
  <si>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</si>
  <si>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</si>
  <si>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</si>
  <si>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</si>
  <si>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</si>
  <si>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</si>
  <si>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</si>
  <si>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</si>
  <si>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</si>
  <si>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</si>
  <si>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</si>
  <si>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</si>
  <si>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</si>
  <si>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</si>
  <si>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</si>
  <si>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</si>
  <si>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</si>
  <si>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</si>
  <si>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</si>
  <si>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</si>
  <si>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</si>
  <si>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</si>
  <si>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</si>
  <si>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</si>
  <si>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</si>
  <si>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</si>
  <si>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</si>
  <si>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</si>
  <si>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</si>
  <si>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</si>
  <si>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</si>
  <si>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</si>
  <si>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</si>
  <si>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</si>
  <si>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</si>
  <si>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</si>
  <si>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</si>
  <si>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</si>
  <si>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</si>
  <si>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</si>
  <si>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</si>
  <si>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</si>
  <si>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</si>
  <si>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</si>
  <si>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</si>
  <si>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</si>
  <si>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</si>
  <si>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</si>
  <si>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</si>
  <si>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</si>
  <si>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</si>
  <si>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</si>
  <si>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</si>
  <si>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</si>
  <si>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</si>
  <si>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</si>
  <si>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</si>
  <si>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</si>
  <si>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</si>
  <si>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</si>
  <si>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</si>
  <si>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</si>
  <si>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</si>
  <si>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</si>
  <si>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</si>
  <si>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</si>
  <si>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</si>
  <si>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</si>
  <si>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</si>
  <si>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</si>
  <si>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</si>
  <si>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</si>
  <si>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</si>
  <si>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</si>
  <si>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</si>
  <si>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</si>
  <si>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</si>
  <si>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</si>
  <si>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</si>
  <si>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</si>
  <si>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</si>
  <si>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</si>
  <si>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</si>
  <si>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</si>
  <si>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</si>
  <si>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</si>
  <si>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</si>
  <si>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</si>
  <si>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</si>
  <si>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</t>
  </si>
  <si>
    <t>December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</si>
  <si>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</si>
  <si>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</si>
  <si>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</si>
  <si>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</si>
  <si>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</si>
  <si>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</si>
  <si>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</si>
  <si>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</si>
  <si>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</si>
  <si>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</si>
  <si>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</si>
  <si>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</si>
  <si>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</si>
  <si>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</si>
  <si>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</si>
  <si>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</si>
  <si>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</si>
  <si>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</si>
  <si>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</si>
  <si>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</si>
  <si>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</si>
  <si>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3/13/2017</t>
  </si>
  <si>
    <t>musoni</t>
  </si>
  <si>
    <t>loan paid in time</t>
  </si>
  <si>
    <t>4/14/2016</t>
  </si>
  <si>
    <t>loan paid well</t>
  </si>
  <si>
    <t>5/21/2015</t>
  </si>
  <si>
    <t>Mpesa &amp; bank cash flows (from past statements)</t>
  </si>
  <si>
    <t>Cash inflows</t>
  </si>
  <si>
    <t>Cash outflows</t>
  </si>
  <si>
    <t>January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</si>
  <si>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</si>
  <si>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</si>
  <si>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</si>
  <si>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</si>
  <si>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</si>
  <si>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</si>
  <si>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</si>
  <si>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2018/2/19</t>
  </si>
  <si>
    <t>Loan terms</t>
  </si>
  <si>
    <t>Expected disbursement date</t>
  </si>
  <si>
    <t>Expected first repayment date</t>
  </si>
  <si>
    <t>2018/3/19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</si>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</sst>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1.236220472440945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2019</v>
      </c>
    </row>
    <row r="13" spans="1:7">
      <c r="B13" s="1" t="s">
        <v>8</v>
      </c>
      <c r="C13" s="67">
        <f>IFERROR(Output!B107/Output!B101,"")</f>
        <v>0.155096222380613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87222.22222222222</v>
      </c>
    </row>
    <row r="17" spans="1:7">
      <c r="B17" s="1" t="s">
        <v>11</v>
      </c>
      <c r="C17" s="36">
        <f>SUM(Output!B6:M6)</f>
        <v>123000</v>
      </c>
    </row>
    <row r="18" spans="1:7">
      <c r="B18" s="1" t="s">
        <v>12</v>
      </c>
      <c r="C18" s="36">
        <f>MIN(Output!B6:M6)</f>
        <v>-69000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21000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-8290.087463556854</v>
      </c>
      <c r="C6" s="51">
        <f>C30-C88</f>
        <v>11290.08746355685</v>
      </c>
      <c r="D6" s="51">
        <f>D30-D88</f>
        <v>21000</v>
      </c>
      <c r="E6" s="51">
        <f>E30-E88</f>
        <v>21000</v>
      </c>
      <c r="F6" s="51">
        <f>F30-F88</f>
        <v>21000</v>
      </c>
      <c r="G6" s="51">
        <f>G30-G88</f>
        <v>21000</v>
      </c>
      <c r="H6" s="51">
        <f>H30-H88</f>
        <v>21000</v>
      </c>
      <c r="I6" s="51">
        <f>I30-I88</f>
        <v>21000</v>
      </c>
      <c r="J6" s="51">
        <f>J30-J88</f>
        <v>21000</v>
      </c>
      <c r="K6" s="51">
        <f>K30-K88</f>
        <v>21000</v>
      </c>
      <c r="L6" s="51">
        <f>L30-L88</f>
        <v>-69000</v>
      </c>
      <c r="M6" s="51">
        <f>M30-M88</f>
        <v>21000</v>
      </c>
      <c r="N6" s="51">
        <f>N30-N88</f>
        <v>21000</v>
      </c>
      <c r="O6" s="51">
        <f>O30-O88</f>
        <v>21000</v>
      </c>
      <c r="P6" s="51">
        <f>P30-P88</f>
        <v>21000</v>
      </c>
      <c r="Q6" s="51">
        <f>Q30-Q88</f>
        <v>21000</v>
      </c>
      <c r="R6" s="51">
        <f>R30-R88</f>
        <v>21000</v>
      </c>
      <c r="S6" s="51">
        <f>S30-S88</f>
        <v>21000</v>
      </c>
      <c r="T6" s="51">
        <f>T30-T88</f>
        <v>21000</v>
      </c>
      <c r="U6" s="51">
        <f>U30-U88</f>
        <v>21000</v>
      </c>
      <c r="V6" s="51">
        <f>V30-V88</f>
        <v>21000</v>
      </c>
      <c r="W6" s="51">
        <f>W30-W88</f>
        <v>21000</v>
      </c>
      <c r="X6" s="51">
        <f>X30-X88</f>
        <v>21000</v>
      </c>
      <c r="Y6" s="51">
        <f>Y30-Y88</f>
        <v>21000</v>
      </c>
      <c r="Z6" s="51">
        <f>SUMIF($B$13:$Y$13,"Yes",B6:Y6)</f>
        <v>270000</v>
      </c>
      <c r="AA6" s="51">
        <f>AA30-AA88</f>
        <v>123000</v>
      </c>
      <c r="AB6" s="51">
        <f>AB30-AB88</f>
        <v>375000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91949</v>
      </c>
      <c r="I7" s="80">
        <f>IF(ISERROR(VLOOKUP(MONTH(I5),Inputs!$D$66:$D$71,1,0)),"",INDEX(Inputs!$B$66:$B$71,MATCH(MONTH(Output!I5),Inputs!$D$66:$D$71,0))-INDEX(Inputs!$C$66:$C$71,MATCH(MONTH(Output!I5),Inputs!$D$66:$D$71,0)))</f>
        <v>95278</v>
      </c>
      <c r="J7" s="80">
        <f>IF(ISERROR(VLOOKUP(MONTH(J5),Inputs!$D$66:$D$71,1,0)),"",INDEX(Inputs!$B$66:$B$71,MATCH(MONTH(Output!J5),Inputs!$D$66:$D$71,0))-INDEX(Inputs!$C$66:$C$71,MATCH(MONTH(Output!J5),Inputs!$D$66:$D$71,0)))</f>
        <v>70615</v>
      </c>
      <c r="K7" s="80">
        <f>IF(ISERROR(VLOOKUP(MONTH(K5),Inputs!$D$66:$D$71,1,0)),"",INDEX(Inputs!$B$66:$B$71,MATCH(MONTH(Output!K5),Inputs!$D$66:$D$71,0))-INDEX(Inputs!$C$66:$C$71,MATCH(MONTH(Output!K5),Inputs!$D$66:$D$71,0)))</f>
        <v>86476</v>
      </c>
      <c r="L7" s="80">
        <f>IF(ISERROR(VLOOKUP(MONTH(L5),Inputs!$D$66:$D$71,1,0)),"",INDEX(Inputs!$B$66:$B$71,MATCH(MONTH(Output!L5),Inputs!$D$66:$D$71,0))-INDEX(Inputs!$C$66:$C$71,MATCH(MONTH(Output!L5),Inputs!$D$66:$D$71,0)))</f>
        <v>76090</v>
      </c>
      <c r="M7" s="80">
        <f>IF(ISERROR(VLOOKUP(MONTH(M5),Inputs!$D$66:$D$71,1,0)),"",INDEX(Inputs!$B$66:$B$71,MATCH(MONTH(Output!M5),Inputs!$D$66:$D$71,0))-INDEX(Inputs!$C$66:$C$71,MATCH(MONTH(Output!M5),Inputs!$D$66:$D$71,0)))</f>
        <v>73458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91949</v>
      </c>
      <c r="U7" s="80">
        <f>IF(ISERROR(VLOOKUP(MONTH(U5),Inputs!$D$66:$D$71,1,0)),"",INDEX(Inputs!$B$66:$B$71,MATCH(MONTH(Output!U5),Inputs!$D$66:$D$71,0))-INDEX(Inputs!$C$66:$C$71,MATCH(MONTH(Output!U5),Inputs!$D$66:$D$71,0)))</f>
        <v>95278</v>
      </c>
      <c r="V7" s="80">
        <f>IF(ISERROR(VLOOKUP(MONTH(V5),Inputs!$D$66:$D$71,1,0)),"",INDEX(Inputs!$B$66:$B$71,MATCH(MONTH(Output!V5),Inputs!$D$66:$D$71,0))-INDEX(Inputs!$C$66:$C$71,MATCH(MONTH(Output!V5),Inputs!$D$66:$D$71,0)))</f>
        <v>70615</v>
      </c>
      <c r="W7" s="80">
        <f>IF(ISERROR(VLOOKUP(MONTH(W5),Inputs!$D$66:$D$71,1,0)),"",INDEX(Inputs!$B$66:$B$71,MATCH(MONTH(Output!W5),Inputs!$D$66:$D$71,0))-INDEX(Inputs!$C$66:$C$71,MATCH(MONTH(Output!W5),Inputs!$D$66:$D$71,0)))</f>
        <v>86476</v>
      </c>
      <c r="X7" s="80">
        <f>IF(ISERROR(VLOOKUP(MONTH(X5),Inputs!$D$66:$D$71,1,0)),"",INDEX(Inputs!$B$66:$B$71,MATCH(MONTH(Output!X5),Inputs!$D$66:$D$71,0))-INDEX(Inputs!$C$66:$C$71,MATCH(MONTH(Output!X5),Inputs!$D$66:$D$71,0)))</f>
        <v>76090</v>
      </c>
      <c r="Y7" s="80">
        <f>IF(ISERROR(VLOOKUP(MONTH(Y5),Inputs!$D$66:$D$71,1,0)),"",INDEX(Inputs!$B$66:$B$71,MATCH(MONTH(Output!Y5),Inputs!$D$66:$D$71,0))-INDEX(Inputs!$C$66:$C$71,MATCH(MONTH(Output!Y5),Inputs!$D$66:$D$71,0)))</f>
        <v>73458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1000000</v>
      </c>
      <c r="AA9" s="75">
        <f>SUM(B9:M9)</f>
        <v>1000000</v>
      </c>
      <c r="AB9" s="75">
        <f>SUM(B9:Y9)</f>
        <v>1000000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87222.22222222222</v>
      </c>
      <c r="D10" s="37">
        <f>SUMPRODUCT((Calculations!$D$33:$D$84=Output!D5)+0,Calculations!$C$33:$C$84)</f>
        <v>87222.22222222222</v>
      </c>
      <c r="E10" s="37">
        <f>SUMPRODUCT((Calculations!$D$33:$D$84=Output!E5)+0,Calculations!$C$33:$C$84)</f>
        <v>87222.22222222222</v>
      </c>
      <c r="F10" s="37">
        <f>SUMPRODUCT((Calculations!$D$33:$D$84=Output!F5)+0,Calculations!$C$33:$C$84)</f>
        <v>87222.22222222222</v>
      </c>
      <c r="G10" s="37">
        <f>SUMPRODUCT((Calculations!$D$33:$D$84=Output!G5)+0,Calculations!$C$33:$C$84)</f>
        <v>87222.22222222222</v>
      </c>
      <c r="H10" s="37">
        <f>SUMPRODUCT((Calculations!$D$33:$D$84=Output!H5)+0,Calculations!$C$33:$C$84)</f>
        <v>87222.22222222222</v>
      </c>
      <c r="I10" s="37">
        <f>SUMPRODUCT((Calculations!$D$33:$D$84=Output!I5)+0,Calculations!$C$33:$C$84)</f>
        <v>87222.22222222222</v>
      </c>
      <c r="J10" s="37">
        <f>SUMPRODUCT((Calculations!$D$33:$D$84=Output!J5)+0,Calculations!$C$33:$C$84)</f>
        <v>87222.22222222222</v>
      </c>
      <c r="K10" s="37">
        <f>SUMPRODUCT((Calculations!$D$33:$D$84=Output!K5)+0,Calculations!$C$33:$C$84)</f>
        <v>87222.22222222222</v>
      </c>
      <c r="L10" s="37">
        <f>SUMPRODUCT((Calculations!$D$33:$D$84=Output!L5)+0,Calculations!$C$33:$C$84)</f>
        <v>87222.22222222222</v>
      </c>
      <c r="M10" s="37">
        <f>SUMPRODUCT((Calculations!$D$33:$D$84=Output!M5)+0,Calculations!$C$33:$C$84)</f>
        <v>87222.22222222222</v>
      </c>
      <c r="N10" s="37">
        <f>SUMPRODUCT((Calculations!$D$33:$D$84=Output!N5)+0,Calculations!$C$33:$C$84)</f>
        <v>87222.22222222222</v>
      </c>
      <c r="O10" s="37">
        <f>SUMPRODUCT((Calculations!$D$33:$D$84=Output!O5)+0,Calculations!$C$33:$C$84)</f>
        <v>87222.22222222222</v>
      </c>
      <c r="P10" s="37">
        <f>SUMPRODUCT((Calculations!$D$33:$D$84=Output!P5)+0,Calculations!$C$33:$C$84)</f>
        <v>87222.22222222222</v>
      </c>
      <c r="Q10" s="37">
        <f>SUMPRODUCT((Calculations!$D$33:$D$84=Output!Q5)+0,Calculations!$C$33:$C$84)</f>
        <v>87222.22222222222</v>
      </c>
      <c r="R10" s="37">
        <f>SUMPRODUCT((Calculations!$D$33:$D$84=Output!R5)+0,Calculations!$C$33:$C$84)</f>
        <v>87222.22222222222</v>
      </c>
      <c r="S10" s="37">
        <f>SUMPRODUCT((Calculations!$D$33:$D$84=Output!S5)+0,Calculations!$C$33:$C$84)</f>
        <v>87222.22222222222</v>
      </c>
      <c r="T10" s="37">
        <f>SUMPRODUCT((Calculations!$D$33:$D$84=Output!T5)+0,Calculations!$C$33:$C$84)</f>
        <v>87222.22222222222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1570000</v>
      </c>
      <c r="AA10" s="37">
        <f>SUM(B10:M10)</f>
        <v>959444.4444444446</v>
      </c>
      <c r="AB10" s="37">
        <f>SUM(B10:Y10)</f>
        <v>1570000</v>
      </c>
    </row>
    <row r="11" spans="1:30" customHeight="1" ht="15.75">
      <c r="A11" s="43" t="s">
        <v>31</v>
      </c>
      <c r="B11" s="80">
        <f>B6+B9-B10</f>
        <v>991709.9125364431</v>
      </c>
      <c r="C11" s="80">
        <f>C6+C9-C10</f>
        <v>-75932.13475866537</v>
      </c>
      <c r="D11" s="80">
        <f>D6+D9-D10</f>
        <v>-66222.22222222222</v>
      </c>
      <c r="E11" s="80">
        <f>E6+E9-E10</f>
        <v>-66222.22222222222</v>
      </c>
      <c r="F11" s="80">
        <f>F6+F9-F10</f>
        <v>-66222.22222222222</v>
      </c>
      <c r="G11" s="80">
        <f>G6+G9-G10</f>
        <v>-66222.22222222222</v>
      </c>
      <c r="H11" s="80">
        <f>H6+H9-H10</f>
        <v>-66222.22222222222</v>
      </c>
      <c r="I11" s="80">
        <f>I6+I9-I10</f>
        <v>-66222.22222222222</v>
      </c>
      <c r="J11" s="80">
        <f>J6+J9-J10</f>
        <v>-66222.22222222222</v>
      </c>
      <c r="K11" s="80">
        <f>K6+K9-K10</f>
        <v>-66222.22222222222</v>
      </c>
      <c r="L11" s="80">
        <f>L6+L9-L10</f>
        <v>-156222.2222222222</v>
      </c>
      <c r="M11" s="80">
        <f>M6+M9-M10</f>
        <v>-66222.22222222222</v>
      </c>
      <c r="N11" s="80">
        <f>N6+N9-N10</f>
        <v>-66222.22222222222</v>
      </c>
      <c r="O11" s="80">
        <f>O6+O9-O10</f>
        <v>-66222.22222222222</v>
      </c>
      <c r="P11" s="80">
        <f>P6+P9-P10</f>
        <v>-66222.22222222222</v>
      </c>
      <c r="Q11" s="80">
        <f>Q6+Q9-Q10</f>
        <v>-66222.22222222222</v>
      </c>
      <c r="R11" s="80">
        <f>R6+R9-R10</f>
        <v>-66222.22222222222</v>
      </c>
      <c r="S11" s="80">
        <f>S6+S9-S10</f>
        <v>-66222.22222222222</v>
      </c>
      <c r="T11" s="80">
        <f>T6+T9-T10</f>
        <v>-66222.22222222222</v>
      </c>
      <c r="U11" s="80">
        <f>U6+U9-U10</f>
        <v>21000</v>
      </c>
      <c r="V11" s="80">
        <f>V6+V9-V10</f>
        <v>21000</v>
      </c>
      <c r="W11" s="80">
        <f>W6+W9-W10</f>
        <v>21000</v>
      </c>
      <c r="X11" s="80">
        <f>X6+X9-X10</f>
        <v>21000</v>
      </c>
      <c r="Y11" s="80">
        <f>Y6+Y9-Y10</f>
        <v>21000</v>
      </c>
      <c r="Z11" s="85">
        <f>SUMIF($B$13:$Y$13,"Yes",B11:Y11)</f>
        <v>-300000.0000000002</v>
      </c>
      <c r="AA11" s="80">
        <f>SUM(B11:M11)</f>
        <v>163555.5555555553</v>
      </c>
      <c r="AB11" s="46">
        <f>SUM(B11:Y11)</f>
        <v>-195000.0000000002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0.08696133820759942</v>
      </c>
      <c r="D12" s="82">
        <f>IF(D13="Yes",IF(SUM($B$10:D10)/(SUM($B$6:D6)+SUM($B$9:D9))&lt;0,999.99,SUM($B$10:D10)/(SUM($B$6:D6)+SUM($B$9:D9))),"")</f>
        <v>0.1703559027777778</v>
      </c>
      <c r="E12" s="82">
        <f>IF(E13="Yes",IF(SUM($B$10:E10)/(SUM($B$6:E6)+SUM($B$9:E9))&lt;0,999.99,SUM($B$10:E10)/(SUM($B$6:E6)+SUM($B$9:E9))),"")</f>
        <v>0.2503987240829346</v>
      </c>
      <c r="F12" s="82">
        <f>IF(F13="Yes",IF(SUM($B$10:F10)/(SUM($B$6:F6)+SUM($B$9:F9))&lt;0,999.99,SUM($B$10:F10)/(SUM($B$6:F6)+SUM($B$9:F9))),"")</f>
        <v>0.327287888263498</v>
      </c>
      <c r="G12" s="82">
        <f>IF(G13="Yes",IF(SUM($B$10:G10)/(SUM($B$6:G6)+SUM($B$9:G9))&lt;0,999.99,SUM($B$10:G10)/(SUM($B$6:G6)+SUM($B$9:G9))),"")</f>
        <v>0.4012061739752632</v>
      </c>
      <c r="H12" s="82">
        <f>IF(H13="Yes",IF(SUM($B$10:H10)/(SUM($B$6:H6)+SUM($B$9:H9))&lt;0,999.99,SUM($B$10:H10)/(SUM($B$6:H6)+SUM($B$9:H9))),"")</f>
        <v>0.4723225030084236</v>
      </c>
      <c r="I12" s="82">
        <f>IF(I13="Yes",IF(SUM($B$10:I10)/(SUM($B$6:I6)+SUM($B$9:I9))&lt;0,999.99,SUM($B$10:I10)/(SUM($B$6:I6)+SUM($B$9:I9))),"")</f>
        <v>0.5407932290128925</v>
      </c>
      <c r="J12" s="82">
        <f>IF(J13="Yes",IF(SUM($B$10:J10)/(SUM($B$6:J6)+SUM($B$9:J9))&lt;0,999.99,SUM($B$10:J10)/(SUM($B$6:J6)+SUM($B$9:J9))),"")</f>
        <v>0.6067632850241547</v>
      </c>
      <c r="K12" s="82">
        <f>IF(K13="Yes",IF(SUM($B$10:K10)/(SUM($B$6:K6)+SUM($B$9:K9))&lt;0,999.99,SUM($B$10:K10)/(SUM($B$6:K6)+SUM($B$9:K9))),"")</f>
        <v>0.6703672075149446</v>
      </c>
      <c r="L12" s="82">
        <f>IF(L13="Yes",IF(SUM($B$10:L10)/(SUM($B$6:L6)+SUM($B$9:L9))&lt;0,999.99,SUM($B$10:L10)/(SUM($B$6:L6)+SUM($B$9:L9))),"")</f>
        <v>0.7914902198023797</v>
      </c>
      <c r="M12" s="82">
        <f>IF(M13="Yes",IF(SUM($B$10:M10)/(SUM($B$6:M6)+SUM($B$9:M9))&lt;0,999.99,SUM($B$10:M10)/(SUM($B$6:M6)+SUM($B$9:M9))),"")</f>
        <v>0.854358365489265</v>
      </c>
      <c r="N12" s="82">
        <f>IF(N13="Yes",IF(SUM($B$10:N10)/(SUM($B$6:N6)+SUM($B$9:N9))&lt;0,999.99,SUM($B$10:N10)/(SUM($B$6:N6)+SUM($B$9:N9))),"")</f>
        <v>0.9149184149184151</v>
      </c>
      <c r="O12" s="82">
        <f>IF(O13="Yes",IF(SUM($B$10:O10)/(SUM($B$6:O6)+SUM($B$9:O9))&lt;0,999.99,SUM($B$10:O10)/(SUM($B$6:O6)+SUM($B$9:O9))),"")</f>
        <v>0.9732951835956128</v>
      </c>
      <c r="P12" s="82">
        <f>IF(P13="Yes",IF(SUM($B$10:P10)/(SUM($B$6:P6)+SUM($B$9:P9))&lt;0,999.99,SUM($B$10:P10)/(SUM($B$6:P6)+SUM($B$9:P9))),"")</f>
        <v>1.029604646805321</v>
      </c>
      <c r="Q12" s="82">
        <f>IF(Q13="Yes",IF(SUM($B$10:Q10)/(SUM($B$6:Q6)+SUM($B$9:Q9))&lt;0,999.99,SUM($B$10:Q10)/(SUM($B$6:Q6)+SUM($B$9:Q9))),"")</f>
        <v>1.083954708644021</v>
      </c>
      <c r="R12" s="82">
        <f>IF(R13="Yes",IF(SUM($B$10:R10)/(SUM($B$6:R6)+SUM($B$9:R9))&lt;0,999.99,SUM($B$10:R10)/(SUM($B$6:R6)+SUM($B$9:R9))),"")</f>
        <v>1.136445892146218</v>
      </c>
      <c r="S12" s="82">
        <f>IF(S13="Yes",IF(SUM($B$10:S10)/(SUM($B$6:S6)+SUM($B$9:S9))&lt;0,999.99,SUM($B$10:S10)/(SUM($B$6:S6)+SUM($B$9:S9))),"")</f>
        <v>1.187171959790055</v>
      </c>
      <c r="T12" s="82">
        <f>IF(T13="Yes",IF(SUM($B$10:T10)/(SUM($B$6:T6)+SUM($B$9:T9))&lt;0,999.99,SUM($B$10:T10)/(SUM($B$6:T6)+SUM($B$9:T9))),"")</f>
        <v>1.236220472440945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950000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950000</v>
      </c>
      <c r="AA30" s="19">
        <f>SUM(B30:M30)</f>
        <v>600000</v>
      </c>
      <c r="AB30" s="19">
        <f>SUM(B30:Y30)</f>
        <v>1200000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285000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90000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90000</v>
      </c>
      <c r="AA80" s="46">
        <f>SUM(B80:M80)</f>
        <v>90000</v>
      </c>
      <c r="AB80" s="46">
        <f>SUM(B80:Y80)</f>
        <v>90000</v>
      </c>
    </row>
    <row r="81" spans="1:30">
      <c r="A81" s="43" t="s">
        <v>51</v>
      </c>
      <c r="B81" s="46">
        <f>(SUM($AA$18:$AA$29)-SUM($AA$36,$AA$42,$AA$48,$AA$54,$AA$60,$AA$66,$AA$72:$AA$79))*Parameters!$B$37/12</f>
        <v>14000</v>
      </c>
      <c r="C81" s="46">
        <f>(SUM($AA$18:$AA$29)-SUM($AA$36,$AA$42,$AA$48,$AA$54,$AA$60,$AA$66,$AA$72:$AA$79))*Parameters!$B$37/12</f>
        <v>14000</v>
      </c>
      <c r="D81" s="46">
        <f>(SUM($AA$18:$AA$29)-SUM($AA$36,$AA$42,$AA$48,$AA$54,$AA$60,$AA$66,$AA$72:$AA$79))*Parameters!$B$37/12</f>
        <v>14000</v>
      </c>
      <c r="E81" s="46">
        <f>(SUM($AA$18:$AA$29)-SUM($AA$36,$AA$42,$AA$48,$AA$54,$AA$60,$AA$66,$AA$72:$AA$79))*Parameters!$B$37/12</f>
        <v>14000</v>
      </c>
      <c r="F81" s="46">
        <f>(SUM($AA$18:$AA$29)-SUM($AA$36,$AA$42,$AA$48,$AA$54,$AA$60,$AA$66,$AA$72:$AA$79))*Parameters!$B$37/12</f>
        <v>14000</v>
      </c>
      <c r="G81" s="46">
        <f>(SUM($AA$18:$AA$29)-SUM($AA$36,$AA$42,$AA$48,$AA$54,$AA$60,$AA$66,$AA$72:$AA$79))*Parameters!$B$37/12</f>
        <v>14000</v>
      </c>
      <c r="H81" s="46">
        <f>(SUM($AA$18:$AA$29)-SUM($AA$36,$AA$42,$AA$48,$AA$54,$AA$60,$AA$66,$AA$72:$AA$79))*Parameters!$B$37/12</f>
        <v>14000</v>
      </c>
      <c r="I81" s="46">
        <f>(SUM($AA$18:$AA$29)-SUM($AA$36,$AA$42,$AA$48,$AA$54,$AA$60,$AA$66,$AA$72:$AA$79))*Parameters!$B$37/12</f>
        <v>14000</v>
      </c>
      <c r="J81" s="46">
        <f>(SUM($AA$18:$AA$29)-SUM($AA$36,$AA$42,$AA$48,$AA$54,$AA$60,$AA$66,$AA$72:$AA$79))*Parameters!$B$37/12</f>
        <v>14000</v>
      </c>
      <c r="K81" s="46">
        <f>(SUM($AA$18:$AA$29)-SUM($AA$36,$AA$42,$AA$48,$AA$54,$AA$60,$AA$66,$AA$72:$AA$79))*Parameters!$B$37/12</f>
        <v>14000</v>
      </c>
      <c r="L81" s="46">
        <f>(SUM($AA$18:$AA$29)-SUM($AA$36,$AA$42,$AA$48,$AA$54,$AA$60,$AA$66,$AA$72:$AA$79))*Parameters!$B$37/12</f>
        <v>14000</v>
      </c>
      <c r="M81" s="46">
        <f>(SUM($AA$18:$AA$29)-SUM($AA$36,$AA$42,$AA$48,$AA$54,$AA$60,$AA$66,$AA$72:$AA$79))*Parameters!$B$37/12</f>
        <v>14000</v>
      </c>
      <c r="N81" s="46">
        <f>(SUM($AA$18:$AA$29)-SUM($AA$36,$AA$42,$AA$48,$AA$54,$AA$60,$AA$66,$AA$72:$AA$79))*Parameters!$B$37/12</f>
        <v>14000</v>
      </c>
      <c r="O81" s="46">
        <f>(SUM($AA$18:$AA$29)-SUM($AA$36,$AA$42,$AA$48,$AA$54,$AA$60,$AA$66,$AA$72:$AA$79))*Parameters!$B$37/12</f>
        <v>14000</v>
      </c>
      <c r="P81" s="46">
        <f>(SUM($AA$18:$AA$29)-SUM($AA$36,$AA$42,$AA$48,$AA$54,$AA$60,$AA$66,$AA$72:$AA$79))*Parameters!$B$37/12</f>
        <v>14000</v>
      </c>
      <c r="Q81" s="46">
        <f>(SUM($AA$18:$AA$29)-SUM($AA$36,$AA$42,$AA$48,$AA$54,$AA$60,$AA$66,$AA$72:$AA$79))*Parameters!$B$37/12</f>
        <v>14000</v>
      </c>
      <c r="R81" s="46">
        <f>(SUM($AA$18:$AA$29)-SUM($AA$36,$AA$42,$AA$48,$AA$54,$AA$60,$AA$66,$AA$72:$AA$79))*Parameters!$B$37/12</f>
        <v>14000</v>
      </c>
      <c r="S81" s="46">
        <f>(SUM($AA$18:$AA$29)-SUM($AA$36,$AA$42,$AA$48,$AA$54,$AA$60,$AA$66,$AA$72:$AA$79))*Parameters!$B$37/12</f>
        <v>14000</v>
      </c>
      <c r="T81" s="46">
        <f>(SUM($AA$18:$AA$29)-SUM($AA$36,$AA$42,$AA$48,$AA$54,$AA$60,$AA$66,$AA$72:$AA$79))*Parameters!$B$37/12</f>
        <v>14000</v>
      </c>
      <c r="U81" s="46">
        <f>(SUM($AA$18:$AA$29)-SUM($AA$36,$AA$42,$AA$48,$AA$54,$AA$60,$AA$66,$AA$72:$AA$79))*Parameters!$B$37/12</f>
        <v>14000</v>
      </c>
      <c r="V81" s="46">
        <f>(SUM($AA$18:$AA$29)-SUM($AA$36,$AA$42,$AA$48,$AA$54,$AA$60,$AA$66,$AA$72:$AA$79))*Parameters!$B$37/12</f>
        <v>14000</v>
      </c>
      <c r="W81" s="46">
        <f>(SUM($AA$18:$AA$29)-SUM($AA$36,$AA$42,$AA$48,$AA$54,$AA$60,$AA$66,$AA$72:$AA$79))*Parameters!$B$37/12</f>
        <v>14000</v>
      </c>
      <c r="X81" s="46">
        <f>(SUM($AA$18:$AA$29)-SUM($AA$36,$AA$42,$AA$48,$AA$54,$AA$60,$AA$66,$AA$72:$AA$79))*Parameters!$B$37/12</f>
        <v>14000</v>
      </c>
      <c r="Y81" s="46">
        <f>(SUM($AA$18:$AA$29)-SUM($AA$36,$AA$42,$AA$48,$AA$54,$AA$60,$AA$66,$AA$72:$AA$79))*Parameters!$B$37/12</f>
        <v>14000</v>
      </c>
      <c r="Z81" s="46">
        <f>SUMIF($B$13:$Y$13,"Yes",B81:Y81)</f>
        <v>266000</v>
      </c>
      <c r="AA81" s="46">
        <f>SUM(B81:M81)</f>
        <v>168000</v>
      </c>
      <c r="AB81" s="46">
        <f>SUM(B81:Y81)</f>
        <v>336000</v>
      </c>
    </row>
    <row r="82" spans="1:30">
      <c r="A82" s="16" t="s">
        <v>52</v>
      </c>
      <c r="B82" s="46">
        <f>SUM(B83:B87)</f>
        <v>29290.08746355685</v>
      </c>
      <c r="C82" s="46">
        <f>SUM(C83:C87)</f>
        <v>9709.912536443146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39000</v>
      </c>
      <c r="AA82" s="46">
        <f>SUM(B82:M82)</f>
        <v>39000</v>
      </c>
      <c r="AB82" s="46">
        <f>SUM(B82:Y82)</f>
        <v>39000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29290.08746355685</v>
      </c>
      <c r="C83" s="46">
        <f>IF(Calculations!$E23&gt;COUNT(Output!$B$35:C$35),Calculations!$B23,IF(Calculations!$E23=COUNT(Output!$B$35:C$35),Inputs!$B56-Calculations!$C23*(Calculations!$E23-1)+Calculations!$D23,0))</f>
        <v>9709.912536443146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39000</v>
      </c>
      <c r="AA83" s="46">
        <f>SUM(B83:M83)</f>
        <v>39000</v>
      </c>
      <c r="AB83" s="46">
        <f>SUM(B83:Y83)</f>
        <v>39000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58290.08746355685</v>
      </c>
      <c r="C88" s="19">
        <f>SUM(C72:C82,C66,C60,C54,C48,C42,C36)</f>
        <v>38709.91253644315</v>
      </c>
      <c r="D88" s="19">
        <f>SUM(D72:D82,D66,D60,D54,D48,D42,D36)</f>
        <v>29000</v>
      </c>
      <c r="E88" s="19">
        <f>SUM(E72:E82,E66,E60,E54,E48,E42,E36)</f>
        <v>29000</v>
      </c>
      <c r="F88" s="19">
        <f>SUM(F72:F82,F66,F60,F54,F48,F42,F36)</f>
        <v>29000</v>
      </c>
      <c r="G88" s="19">
        <f>SUM(G72:G82,G66,G60,G54,G48,G42,G36)</f>
        <v>29000</v>
      </c>
      <c r="H88" s="19">
        <f>SUM(H72:H82,H66,H60,H54,H48,H42,H36)</f>
        <v>29000</v>
      </c>
      <c r="I88" s="19">
        <f>SUM(I72:I82,I66,I60,I54,I48,I42,I36)</f>
        <v>29000</v>
      </c>
      <c r="J88" s="19">
        <f>SUM(J72:J82,J66,J60,J54,J48,J42,J36)</f>
        <v>29000</v>
      </c>
      <c r="K88" s="19">
        <f>SUM(K72:K82,K66,K60,K54,K48,K42,K36)</f>
        <v>29000</v>
      </c>
      <c r="L88" s="19">
        <f>SUM(L72:L82,L66,L60,L54,L48,L42,L36)</f>
        <v>119000</v>
      </c>
      <c r="M88" s="19">
        <f>SUM(M72:M82,M66,M60,M54,M48,M42,M36)</f>
        <v>29000</v>
      </c>
      <c r="N88" s="19">
        <f>SUM(N72:N82,N66,N60,N54,N48,N42,N36)</f>
        <v>29000</v>
      </c>
      <c r="O88" s="19">
        <f>SUM(O72:O82,O66,O60,O54,O48,O42,O36)</f>
        <v>29000</v>
      </c>
      <c r="P88" s="19">
        <f>SUM(P72:P82,P66,P60,P54,P48,P42,P36)</f>
        <v>29000</v>
      </c>
      <c r="Q88" s="19">
        <f>SUM(Q72:Q82,Q66,Q60,Q54,Q48,Q42,Q36)</f>
        <v>29000</v>
      </c>
      <c r="R88" s="19">
        <f>SUM(R72:R82,R66,R60,R54,R48,R42,R36)</f>
        <v>29000</v>
      </c>
      <c r="S88" s="19">
        <f>SUM(S72:S82,S66,S60,S54,S48,S42,S36)</f>
        <v>29000</v>
      </c>
      <c r="T88" s="19">
        <f>SUM(T72:T82,T66,T60,T54,T48,T42,T36)</f>
        <v>29000</v>
      </c>
      <c r="U88" s="19">
        <f>SUM(U72:U82,U66,U60,U54,U48,U42,U36)</f>
        <v>29000</v>
      </c>
      <c r="V88" s="19">
        <f>SUM(V72:V82,V66,V60,V54,V48,V42,V36)</f>
        <v>29000</v>
      </c>
      <c r="W88" s="19">
        <f>SUM(W72:W82,W66,W60,W54,W48,W42,W36)</f>
        <v>29000</v>
      </c>
      <c r="X88" s="19">
        <f>SUM(X72:X82,X66,X60,X54,X48,X42,X36)</f>
        <v>29000</v>
      </c>
      <c r="Y88" s="19">
        <f>SUM(Y72:Y82,Y66,Y60,Y54,Y48,Y42,Y36)</f>
        <v>29000</v>
      </c>
      <c r="Z88" s="19">
        <f>SUMIF($B$13:$Y$13,"Yes",B88:Y88)</f>
        <v>680000</v>
      </c>
      <c r="AA88" s="19">
        <f>SUM(B88:M88)</f>
        <v>477000</v>
      </c>
      <c r="AB88" s="19">
        <f>SUM(B88:Y88)</f>
        <v>825000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4800000</v>
      </c>
    </row>
    <row r="99" spans="1:30">
      <c r="A99" t="s">
        <v>65</v>
      </c>
      <c r="B99" s="36">
        <f>Inputs!B46</f>
        <v>65000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7015000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60000</v>
      </c>
    </row>
    <row r="105" spans="1:30">
      <c r="A105" t="s">
        <v>70</v>
      </c>
      <c r="B105" s="36">
        <f>SUM(Inputs!B56:B60)</f>
        <v>28000</v>
      </c>
    </row>
    <row r="106" spans="1:30" customHeight="1" ht="15.75">
      <c r="A106" s="18" t="s">
        <v>71</v>
      </c>
      <c r="B106" s="37">
        <f>Calculations!G35</f>
        <v>1000000</v>
      </c>
    </row>
    <row r="107" spans="1:30" customHeight="1" ht="15.75">
      <c r="A107" s="1" t="s">
        <v>72</v>
      </c>
      <c r="B107" s="19">
        <f>SUM(B104:B106)</f>
        <v>1088000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50000</v>
      </c>
    </row>
    <row r="31" spans="1:48">
      <c r="A31" s="5" t="s">
        <v>108</v>
      </c>
      <c r="B31" s="158">
        <v>15000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 t="s">
        <v>114</v>
      </c>
      <c r="B35" s="159">
        <v>90000</v>
      </c>
      <c r="C35" s="145" t="s">
        <v>115</v>
      </c>
      <c r="D35" s="49">
        <f>IFERROR(VLOOKUP(C35,Parameters!$C$79:$D$90,2,0),"")</f>
        <v>12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118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118</v>
      </c>
    </row>
    <row r="45" spans="1:48">
      <c r="A45" s="56" t="s">
        <v>124</v>
      </c>
      <c r="B45" s="161">
        <v>4800000</v>
      </c>
    </row>
    <row r="46" spans="1:48" customHeight="1" ht="30">
      <c r="A46" s="57" t="s">
        <v>125</v>
      </c>
      <c r="B46" s="161">
        <v>65000</v>
      </c>
    </row>
    <row r="47" spans="1:48" customHeight="1" ht="30">
      <c r="A47" s="57" t="s">
        <v>126</v>
      </c>
      <c r="B47" s="161">
        <v>500000</v>
      </c>
    </row>
    <row r="48" spans="1:48" customHeight="1" ht="30">
      <c r="A48" s="57" t="s">
        <v>127</v>
      </c>
      <c r="B48" s="161">
        <v>1500000</v>
      </c>
    </row>
    <row r="49" spans="1:48" customHeight="1" ht="30">
      <c r="A49" s="57" t="s">
        <v>128</v>
      </c>
      <c r="B49" s="161">
        <v>150000</v>
      </c>
    </row>
    <row r="50" spans="1:48">
      <c r="A50" s="43"/>
      <c r="B50" s="36"/>
    </row>
    <row r="51" spans="1:48">
      <c r="A51" s="58" t="s">
        <v>129</v>
      </c>
      <c r="B51" s="161">
        <v>60000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300000</v>
      </c>
      <c r="B56" s="159">
        <v>28000</v>
      </c>
      <c r="C56" s="162" t="s">
        <v>137</v>
      </c>
      <c r="D56" s="163" t="s">
        <v>138</v>
      </c>
      <c r="E56" s="163" t="s">
        <v>118</v>
      </c>
      <c r="F56" s="163" t="s">
        <v>139</v>
      </c>
    </row>
    <row r="57" spans="1:48">
      <c r="A57" s="157">
        <v>300000</v>
      </c>
      <c r="B57" s="157">
        <v>0</v>
      </c>
      <c r="C57" s="164" t="s">
        <v>140</v>
      </c>
      <c r="D57" s="165" t="s">
        <v>138</v>
      </c>
      <c r="E57" s="165" t="s">
        <v>118</v>
      </c>
      <c r="F57" s="165" t="s">
        <v>141</v>
      </c>
    </row>
    <row r="58" spans="1:48">
      <c r="A58" s="157">
        <v>300000</v>
      </c>
      <c r="B58" s="157">
        <v>0</v>
      </c>
      <c r="C58" s="164" t="s">
        <v>142</v>
      </c>
      <c r="D58" s="165" t="s">
        <v>138</v>
      </c>
      <c r="E58" s="165" t="s">
        <v>118</v>
      </c>
      <c r="F58" s="165" t="s">
        <v>141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144</v>
      </c>
      <c r="C65" s="10" t="s">
        <v>145</v>
      </c>
    </row>
    <row r="66" spans="1:48">
      <c r="A66" s="142" t="s">
        <v>146</v>
      </c>
      <c r="B66" s="159">
        <v>1058583</v>
      </c>
      <c r="C66" s="163">
        <v>985125</v>
      </c>
      <c r="D66" s="49">
        <f>INDEX(Parameters!$D$79:$D$90,MATCH(Inputs!A66,Parameters!$C$79:$C$90,0))</f>
        <v>1</v>
      </c>
    </row>
    <row r="67" spans="1:48">
      <c r="A67" s="143" t="s">
        <v>115</v>
      </c>
      <c r="B67" s="157">
        <v>641305</v>
      </c>
      <c r="C67" s="165">
        <v>565215</v>
      </c>
      <c r="D67" s="49">
        <f>INDEX(Parameters!$D$79:$D$90,MATCH(Inputs!A67,Parameters!$C$79:$C$90,0))</f>
        <v>12</v>
      </c>
    </row>
    <row r="68" spans="1:48">
      <c r="A68" s="143" t="s">
        <v>147</v>
      </c>
      <c r="B68" s="157">
        <v>646038</v>
      </c>
      <c r="C68" s="165">
        <v>559562</v>
      </c>
      <c r="D68" s="49">
        <f>INDEX(Parameters!$D$79:$D$90,MATCH(Inputs!A68,Parameters!$C$79:$C$90,0))</f>
        <v>11</v>
      </c>
    </row>
    <row r="69" spans="1:48">
      <c r="A69" s="143" t="s">
        <v>148</v>
      </c>
      <c r="B69" s="157">
        <v>375870</v>
      </c>
      <c r="C69" s="165">
        <v>305255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845834</v>
      </c>
      <c r="C70" s="165">
        <v>750556</v>
      </c>
      <c r="D70" s="49">
        <f>INDEX(Parameters!$D$79:$D$90,MATCH(Inputs!A70,Parameters!$C$79:$C$90,0))</f>
        <v>9</v>
      </c>
    </row>
    <row r="71" spans="1:48">
      <c r="A71" s="144" t="s">
        <v>150</v>
      </c>
      <c r="B71" s="158">
        <v>661494</v>
      </c>
      <c r="C71" s="167">
        <v>569545</v>
      </c>
      <c r="D71" s="49">
        <f>INDEX(Parameters!$D$79:$D$90,MATCH(Inputs!A71,Parameters!$C$79:$C$90,0))</f>
        <v>8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8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1000000</v>
      </c>
    </row>
    <row r="82" spans="1:48">
      <c r="A82" t="s">
        <v>160</v>
      </c>
      <c r="B82" s="161">
        <v>38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18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300000</v>
      </c>
      <c r="B23" s="75">
        <f>SUM(C23:D23)</f>
        <v>29290.08746355685</v>
      </c>
      <c r="C23" s="75">
        <f>IF(Inputs!B56&gt;0,(Inputs!A56-Inputs!B56)/(DATE(YEAR(Inputs!$B$76),MONTH(Inputs!$B$76),DAY(Inputs!$B$76))-DATE(YEAR(Inputs!C56),MONTH(Inputs!C56),DAY(Inputs!C56)))*30,0)</f>
        <v>23790.08746355685</v>
      </c>
      <c r="D23" s="75">
        <f>IF(Inputs!B56&gt;0,Inputs!A56*0.22/12,0)</f>
        <v>5500</v>
      </c>
      <c r="E23" s="75">
        <f>IFERROR(ROUNDUP(Inputs!B56/C23,0),0)</f>
        <v>2</v>
      </c>
    </row>
    <row r="24" spans="1:52">
      <c r="A24" s="46">
        <f>Inputs!A57</f>
        <v>300000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Donholm</v>
      </c>
    </row>
    <row r="33" spans="1:52">
      <c r="A33">
        <v>1</v>
      </c>
      <c r="B33" s="128">
        <f>G34</f>
        <v>43178</v>
      </c>
      <c r="C33" s="27">
        <f>IF(B33&lt;&gt;"",IF(COUNT($A$33:A33)&lt;=$G$39,0,$G$41)+IF(COUNT($A$33:A33)&lt;=$G$40,0,$G$42),0)</f>
        <v>87222.22222222222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43209</v>
      </c>
      <c r="C34" s="27">
        <f>IF(B34&lt;&gt;"",IF(COUNT($A$33:A34)&lt;=$G$39,0,$G$41)+IF(COUNT($A$33:A34)&lt;=$G$40,0,$G$42),0)</f>
        <v>87222.22222222222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43239</v>
      </c>
      <c r="C35" s="27">
        <f>IF(B35&lt;&gt;"",IF(COUNT($A$33:A35)&lt;=$G$39,0,$G$41)+IF(COUNT($A$33:A35)&lt;=$G$40,0,$G$42),0)</f>
        <v>87222.22222222222</v>
      </c>
      <c r="D35" s="170">
        <f>IFERROR(DATE(YEAR(B35),MONTH(B35),1)," ")</f>
        <v>43221</v>
      </c>
      <c r="F35" t="s">
        <v>159</v>
      </c>
      <c r="G35" s="27">
        <f>Inputs!B81</f>
        <v>1000000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43270</v>
      </c>
      <c r="C36" s="27">
        <f>IF(B36&lt;&gt;"",IF(COUNT($A$33:A36)&lt;=$G$39,0,$G$41)+IF(COUNT($A$33:A36)&lt;=$G$40,0,$G$42),0)</f>
        <v>87222.22222222222</v>
      </c>
      <c r="D36" s="170">
        <f>IFERROR(DATE(YEAR(B36),MONTH(B36),1)," ")</f>
        <v>43252</v>
      </c>
      <c r="F36" t="s">
        <v>160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43300</v>
      </c>
      <c r="C37" s="27">
        <f>IF(B37&lt;&gt;"",IF(COUNT($A$33:A37)&lt;=$G$39,0,$G$41)+IF(COUNT($A$33:A37)&lt;=$G$40,0,$G$42),0)</f>
        <v>87222.22222222222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43331</v>
      </c>
      <c r="C38" s="27">
        <f>IF(B38&lt;&gt;"",IF(COUNT($A$33:A38)&lt;=$G$39,0,$G$41)+IF(COUNT($A$33:A38)&lt;=$G$40,0,$G$42),0)</f>
        <v>87222.22222222222</v>
      </c>
      <c r="D38" s="170">
        <f>IFERROR(DATE(YEAR(B38),MONTH(B38),1)," ")</f>
        <v>43313</v>
      </c>
      <c r="F38" t="s">
        <v>222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43362</v>
      </c>
      <c r="C39" s="27">
        <f>IF(B39&lt;&gt;"",IF(COUNT($A$33:A39)&lt;=$G$39,0,$G$41)+IF(COUNT($A$33:A39)&lt;=$G$40,0,$G$42),0)</f>
        <v>87222.22222222222</v>
      </c>
      <c r="D39" s="170">
        <f>IFERROR(DATE(YEAR(B39),MONTH(B39),1)," ")</f>
        <v>43344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43392</v>
      </c>
      <c r="C40" s="27">
        <f>IF(B40&lt;&gt;"",IF(COUNT($A$33:A40)&lt;=$G$39,0,$G$41)+IF(COUNT($A$33:A40)&lt;=$G$40,0,$G$42),0)</f>
        <v>87222.22222222222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43423</v>
      </c>
      <c r="C41" s="27">
        <f>IF(B41&lt;&gt;"",IF(COUNT($A$33:A41)&lt;=$G$39,0,$G$41)+IF(COUNT($A$33:A41)&lt;=$G$40,0,$G$42),0)</f>
        <v>87222.22222222222</v>
      </c>
      <c r="D41" s="170">
        <f>IFERROR(DATE(YEAR(B41),MONTH(B41),1)," ")</f>
        <v>43405</v>
      </c>
      <c r="F41" t="s">
        <v>223</v>
      </c>
      <c r="G41" s="73">
        <f>IFERROR(G35/(G38-G39),"")</f>
        <v>55555.55555555555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43453</v>
      </c>
      <c r="C42" s="27">
        <f>IF(B42&lt;&gt;"",IF(COUNT($A$33:A42)&lt;=$G$39,0,$G$41)+IF(COUNT($A$33:A42)&lt;=$G$40,0,$G$42),0)</f>
        <v>87222.22222222222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31666.66666666667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43484</v>
      </c>
      <c r="C43" s="27">
        <f>IF(B43&lt;&gt;"",IF(COUNT($A$33:A43)&lt;=$G$39,0,$G$41)+IF(COUNT($A$33:A43)&lt;=$G$40,0,$G$42),0)</f>
        <v>87222.22222222222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43515</v>
      </c>
      <c r="C44" s="27">
        <f>IF(B44&lt;&gt;"",IF(COUNT($A$33:A44)&lt;=$G$39,0,$G$41)+IF(COUNT($A$33:A44)&lt;=$G$40,0,$G$42),0)</f>
        <v>87222.22222222222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43543</v>
      </c>
      <c r="C45" s="27">
        <f>IF(B45&lt;&gt;"",IF(COUNT($A$33:A45)&lt;=$G$39,0,$G$41)+IF(COUNT($A$33:A45)&lt;=$G$40,0,$G$42),0)</f>
        <v>87222.22222222222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43574</v>
      </c>
      <c r="C46" s="27">
        <f>IF(B46&lt;&gt;"",IF(COUNT($A$33:A46)&lt;=$G$39,0,$G$41)+IF(COUNT($A$33:A46)&lt;=$G$40,0,$G$42),0)</f>
        <v>87222.22222222222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43604</v>
      </c>
      <c r="C47" s="27">
        <f>IF(B47&lt;&gt;"",IF(COUNT($A$33:A47)&lt;=$G$39,0,$G$41)+IF(COUNT($A$33:A47)&lt;=$G$40,0,$G$42),0)</f>
        <v>87222.22222222222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43635</v>
      </c>
      <c r="C48" s="27">
        <f>IF(B48&lt;&gt;"",IF(COUNT($A$33:A48)&lt;=$G$39,0,$G$41)+IF(COUNT($A$33:A48)&lt;=$G$40,0,$G$42),0)</f>
        <v>87222.22222222222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43665</v>
      </c>
      <c r="C49" s="27">
        <f>IF(B49&lt;&gt;"",IF(COUNT($A$33:A49)&lt;=$G$39,0,$G$41)+IF(COUNT($A$33:A49)&lt;=$G$40,0,$G$42),0)</f>
        <v>87222.22222222222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43696</v>
      </c>
      <c r="C50" s="27">
        <f>IF(B50&lt;&gt;"",IF(COUNT($A$33:A50)&lt;=$G$39,0,$G$41)+IF(COUNT($A$33:A50)&lt;=$G$40,0,$G$42),0)</f>
        <v>87222.22222222222</v>
      </c>
      <c r="D50" s="170">
        <f>IFERROR(DATE(YEAR(B50),MONTH(B50),1)," ")</f>
        <v>43678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90</v>
      </c>
      <c r="B41" s="191" t="s">
        <v>311</v>
      </c>
      <c r="C41" s="191" t="s">
        <v>118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313</v>
      </c>
      <c r="H52" s="12" t="s">
        <v>314</v>
      </c>
      <c r="I52" s="12" t="s">
        <v>122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225</v>
      </c>
      <c r="E53" s="10" t="s">
        <v>184</v>
      </c>
      <c r="F53" s="10" t="s">
        <v>244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118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118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118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118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118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118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118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118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118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118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118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162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221</v>
      </c>
      <c r="J76" s="11" t="s">
        <v>347</v>
      </c>
      <c r="K76" s="11" t="s">
        <v>174</v>
      </c>
      <c r="AJ76" s="12"/>
    </row>
    <row r="77" spans="1:36">
      <c r="A77" t="s">
        <v>118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122</v>
      </c>
      <c r="I78" s="12" t="s">
        <v>356</v>
      </c>
      <c r="J78" s="70" t="s">
        <v>357</v>
      </c>
      <c r="K78" s="12" t="s">
        <v>311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162</v>
      </c>
      <c r="J79" s="70" t="s">
        <v>361</v>
      </c>
      <c r="K79" s="12" t="s">
        <v>311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118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118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115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