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<sst xmlns="http://schemas.openxmlformats.org/spreadsheetml/2006/main" uniqueCount="367">
  <si>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</si>
  <si>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</si>
  <si>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</si>
  <si>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</si>
  <si>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</si>
  <si>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</si>
  <si>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</si>
  <si>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</si>
  <si>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</si>
  <si>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</si>
  <si>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</si>
  <si>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</si>
  <si>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</si>
  <si>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</si>
  <si>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</si>
  <si>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</si>
  <si>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</si>
  <si>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</si>
  <si>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</si>
  <si>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</si>
  <si>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</si>
  <si>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</si>
  <si>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</si>
  <si>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</si>
  <si>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</si>
  <si>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</si>
  <si>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</si>
  <si>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</si>
  <si>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</si>
  <si>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</si>
  <si>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</si>
  <si>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</si>
  <si>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</si>
  <si>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</si>
  <si>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</si>
  <si>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</si>
  <si>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</si>
  <si>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</si>
  <si>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</si>
  <si>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</si>
  <si>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</si>
  <si>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</si>
  <si>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</si>
  <si>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</si>
  <si>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</si>
  <si>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</si>
  <si>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</si>
  <si>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</si>
  <si>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</si>
  <si>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</si>
  <si>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</si>
  <si>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</si>
  <si>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</si>
  <si>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</si>
  <si>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</si>
  <si>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</si>
  <si>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</si>
  <si>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</si>
  <si>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</si>
  <si>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</si>
  <si>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</si>
  <si>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</si>
  <si>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</si>
  <si>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</si>
  <si>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</si>
  <si>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</si>
  <si>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</si>
  <si>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</si>
  <si>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</si>
  <si>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</si>
  <si>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</si>
  <si>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</si>
  <si>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</si>
  <si>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</si>
  <si>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</si>
  <si>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</si>
  <si>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</si>
  <si>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</si>
  <si>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</si>
  <si>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</si>
  <si>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</si>
  <si>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</si>
  <si>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</si>
  <si>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</si>
  <si>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</si>
  <si>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</si>
  <si>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</si>
  <si>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</si>
  <si>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</si>
  <si>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</si>
  <si>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</si>
  <si>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</si>
  <si>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</si>
  <si>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</si>
  <si>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</si>
  <si>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</si>
  <si>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</si>
  <si>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</si>
  <si>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</si>
  <si>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</si>
  <si>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</si>
  <si>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</si>
  <si>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</si>
  <si>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</si>
  <si>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</si>
  <si>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</si>
  <si>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</si>
  <si>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</si>
  <si>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</si>
  <si>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</si>
  <si>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</si>
  <si>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</si>
  <si>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</si>
  <si>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</si>
  <si>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</si>
  <si>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</si>
  <si>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</si>
  <si>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</si>
  <si>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</si>
  <si>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</si>
  <si>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</si>
  <si>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</si>
  <si>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</si>
  <si>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</si>
  <si>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</si>
  <si>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</si>
  <si>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</si>
  <si>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</si>
  <si>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</si>
  <si>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</si>
  <si>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</si>
  <si>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</si>
  <si>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</si>
  <si>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</si>
  <si>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</si>
  <si>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</si>
  <si>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</si>
  <si>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2/19/2018</t>
  </si>
  <si>
    <t>Musoni</t>
  </si>
  <si>
    <t>No</t>
  </si>
  <si>
    <t>OK</t>
  </si>
  <si>
    <t>Mpesa &amp; bank cash flows (from past statements)</t>
  </si>
  <si>
    <t>Cash inflows</t>
  </si>
  <si>
    <t>Cash outflows</t>
  </si>
  <si>
    <t>January</t>
  </si>
  <si>
    <t>March</t>
  </si>
  <si>
    <t>May</t>
  </si>
  <si>
    <t>July</t>
  </si>
  <si>
    <t>August</t>
  </si>
  <si>
    <t>December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</si>
  <si>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</si>
  <si>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</si>
  <si>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</si>
  <si>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</si>
  <si>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</si>
  <si>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</si>
  <si>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</si>
  <si>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</si>
  <si>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</si>
  <si>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</si>
  <si>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</si>
  <si>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</si>
  <si>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</si>
  <si>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</si>
  <si>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</si>
  <si>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</si>
  <si>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</si>
  <si>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</si>
  <si>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</si>
  <si>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</si>
  <si>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</si>
  <si>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</si>
  <si>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</si>
  <si>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</si>
  <si>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</si>
  <si>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</si>
  <si>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</si>
  <si>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</si>
  <si>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</si>
  <si>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</si>
  <si>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</si>
  <si>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</si>
  <si>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</si>
  <si>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</si>
  <si>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</si>
  <si>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</si>
  <si>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</si>
  <si>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</si>
  <si>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</si>
  <si>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</si>
  <si>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</si>
  <si>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</si>
  <si>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</si>
  <si>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</si>
  <si>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</si>
  <si>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</si>
  <si>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</si>
  <si>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</si>
  <si>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</si>
  <si>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</si>
  <si>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</si>
  <si>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</si>
  <si>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</si>
  <si>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</si>
  <si>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</si>
  <si>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</si>
  <si>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</si>
  <si>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</si>
  <si>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</si>
  <si>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</si>
  <si>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</si>
  <si>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</si>
  <si>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</si>
  <si>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</si>
  <si>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</si>
  <si>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</si>
  <si>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</si>
  <si>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</si>
  <si>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</si>
  <si>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</si>
  <si>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</si>
  <si>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</si>
  <si>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</si>
  <si>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</si>
  <si>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</si>
  <si>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</si>
  <si>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</si>
  <si>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</si>
  <si>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</si>
  <si>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</si>
  <si>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</si>
  <si>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</si>
  <si>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</si>
  <si>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</si>
  <si>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</si>
  <si>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</si>
  <si>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</si>
  <si>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</si>
  <si>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</si>
  <si>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</si>
  <si>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</si>
  <si>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</si>
  <si>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</si>
  <si>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</si>
  <si>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</si>
  <si>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</si>
  <si>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</si>
  <si>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</si>
  <si>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</si>
  <si>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</si>
  <si>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</si>
  <si>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</si>
  <si>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</si>
  <si>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</si>
  <si>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</si>
  <si>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</si>
  <si>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</si>
  <si>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</si>
  <si>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</si>
  <si>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</si>
  <si>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</si>
  <si>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</si>
  <si>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</si>
  <si>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</si>
  <si>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</si>
  <si>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</si>
  <si>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</si>
  <si>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</si>
  <si>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</si>
  <si>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</si>
  <si>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</si>
  <si>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</si>
  <si>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</si>
  <si>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</si>
  <si>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</si>
  <si>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</si>
  <si>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</si>
  <si>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</si>
  <si>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</si>
  <si>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</si>
  <si>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</si>
  <si>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</si>
  <si>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</si>
  <si>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</si>
  <si>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</si>
  <si>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</si>
  <si>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</si>
  <si>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</si>
  <si>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</si>
  <si>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</si>
  <si>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</si>
  <si>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</si>
  <si>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</si>
  <si>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</si>
  <si>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</si>
  <si>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</si>
  <si>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</si>
  <si>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</si>
  <si>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</si>
  <si>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</si>
  <si>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</si>
  <si>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</si>
  <si>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</si>
  <si>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</si>
  <si>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</si>
  <si>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</si>
  <si>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</si>
  <si>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</si>
  <si>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</si>
  <si>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</si>
  <si>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</si>
  <si>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</si>
  <si>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</si>
  <si>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</si>
  <si>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</si>
  <si>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</si>
  <si>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</si>
  <si>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</si>
  <si>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</si>
  <si>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</si>
  <si>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</si>
  <si>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</si>
  <si>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</si>
  <si>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</si>
  <si>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</si>
  <si>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</si>
  <si>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</si>
  <si>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</si>
  <si>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</si>
  <si>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</si>
  <si>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</si>
  <si>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</si>
  <si>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</si>
  <si>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</si>
  <si>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</si>
  <si>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</si>
  <si>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</si>
  <si>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</si>
  <si>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</si>
  <si>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</si>
  <si>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</si>
  <si>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</si>
  <si>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</si>
  <si>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</si>
  <si>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</si>
  <si>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</si>
  <si>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</si>
  <si>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</si>
  <si>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</si>
  <si>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</si>
  <si>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</si>
  <si>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</si>
  <si>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</si>
  <si>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</si>
  <si>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</si>
  <si>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</si>
  <si>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</si>
  <si>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</si>
  <si>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</si>
  <si>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</si>
  <si>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</si>
  <si>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</si>
  <si>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</si>
  <si>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June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</si>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</sst>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0.3158662882322892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0.04583551597695128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552419.7984962406</v>
      </c>
    </row>
    <row r="18" spans="1:7">
      <c r="B18" s="1" t="s">
        <v>12</v>
      </c>
      <c r="C18" s="36">
        <f>MIN(Output!B6:M6)</f>
        <v>46034.98320802005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46034.98320802005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46034.98320802005</v>
      </c>
      <c r="C6" s="51">
        <f>C30-C88</f>
        <v>46034.98320802005</v>
      </c>
      <c r="D6" s="51">
        <f>D30-D88</f>
        <v>46034.98320802005</v>
      </c>
      <c r="E6" s="51">
        <f>E30-E88</f>
        <v>46034.98320802005</v>
      </c>
      <c r="F6" s="51">
        <f>F30-F88</f>
        <v>46034.98320802005</v>
      </c>
      <c r="G6" s="51">
        <f>G30-G88</f>
        <v>46034.98320802005</v>
      </c>
      <c r="H6" s="51">
        <f>H30-H88</f>
        <v>46034.98320802005</v>
      </c>
      <c r="I6" s="51">
        <f>I30-I88</f>
        <v>46034.98320802005</v>
      </c>
      <c r="J6" s="51">
        <f>J30-J88</f>
        <v>46034.98320802005</v>
      </c>
      <c r="K6" s="51">
        <f>K30-K88</f>
        <v>46034.98320802005</v>
      </c>
      <c r="L6" s="51">
        <f>L30-L88</f>
        <v>46034.98320802005</v>
      </c>
      <c r="M6" s="51">
        <f>M30-M88</f>
        <v>46034.98320802005</v>
      </c>
      <c r="N6" s="51">
        <f>N30-N88</f>
        <v>60034.98320802005</v>
      </c>
      <c r="O6" s="51">
        <f>O30-O88</f>
        <v>46034.98320802005</v>
      </c>
      <c r="P6" s="51">
        <f>P30-P88</f>
        <v>46034.98320802005</v>
      </c>
      <c r="Q6" s="51">
        <f>Q30-Q88</f>
        <v>46034.98320802005</v>
      </c>
      <c r="R6" s="51">
        <f>R30-R88</f>
        <v>46034.98320802005</v>
      </c>
      <c r="S6" s="51">
        <f>S30-S88</f>
        <v>46034.98320802005</v>
      </c>
      <c r="T6" s="51">
        <f>T30-T88</f>
        <v>46034.98320802005</v>
      </c>
      <c r="U6" s="51">
        <f>U30-U88</f>
        <v>46034.98320802005</v>
      </c>
      <c r="V6" s="51">
        <f>V30-V88</f>
        <v>46034.98320802005</v>
      </c>
      <c r="W6" s="51">
        <f>W30-W88</f>
        <v>46034.98320802005</v>
      </c>
      <c r="X6" s="51">
        <f>X30-X88</f>
        <v>46034.98320802005</v>
      </c>
      <c r="Y6" s="51">
        <f>Y30-Y88</f>
        <v>46034.98320802005</v>
      </c>
      <c r="Z6" s="51">
        <f>SUMIF($B$13:$Y$13,"Yes",B6:Y6)</f>
        <v>934699.6641604014</v>
      </c>
      <c r="AA6" s="51">
        <f>AA30-AA88</f>
        <v>552419.7984962406</v>
      </c>
      <c r="AB6" s="51">
        <f>AB30-AB88</f>
        <v>1118839.59699248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240000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350000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130000</v>
      </c>
      <c r="H7" s="80">
        <f>IF(ISERROR(VLOOKUP(MONTH(H5),Inputs!$D$66:$D$71,1,0)),"",INDEX(Inputs!$B$66:$B$71,MATCH(MONTH(Output!H5),Inputs!$D$66:$D$71,0))-INDEX(Inputs!$C$66:$C$71,MATCH(MONTH(Output!H5),Inputs!$D$66:$D$71,0)))</f>
        <v>190000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200000</v>
      </c>
      <c r="M7" s="80">
        <f>IF(ISERROR(VLOOKUP(MONTH(M5),Inputs!$D$66:$D$71,1,0)),"",INDEX(Inputs!$B$66:$B$71,MATCH(MONTH(Output!M5),Inputs!$D$66:$D$71,0))-INDEX(Inputs!$C$66:$C$71,MATCH(MONTH(Output!M5),Inputs!$D$66:$D$71,0)))</f>
        <v>200000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240000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350000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130000</v>
      </c>
      <c r="T7" s="80">
        <f>IF(ISERROR(VLOOKUP(MONTH(T5),Inputs!$D$66:$D$71,1,0)),"",INDEX(Inputs!$B$66:$B$71,MATCH(MONTH(Output!T5),Inputs!$D$66:$D$71,0))-INDEX(Inputs!$C$66:$C$71,MATCH(MONTH(Output!T5),Inputs!$D$66:$D$71,0)))</f>
        <v>190000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200000</v>
      </c>
      <c r="Y7" s="80">
        <f>IF(ISERROR(VLOOKUP(MONTH(Y5),Inputs!$D$66:$D$71,1,0)),"",INDEX(Inputs!$B$66:$B$71,MATCH(MONTH(Output!Y5),Inputs!$D$66:$D$71,0))-INDEX(Inputs!$C$66:$C$71,MATCH(MONTH(Output!Y5),Inputs!$D$66:$D$71,0)))</f>
        <v>200000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21666.66666666667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216666.6666666667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346034.98320802</v>
      </c>
      <c r="C11" s="80">
        <f>C6+C9-C10</f>
        <v>46034.98320802005</v>
      </c>
      <c r="D11" s="80">
        <f>D6+D9-D10</f>
        <v>24368.31654135338</v>
      </c>
      <c r="E11" s="80">
        <f>E6+E9-E10</f>
        <v>24368.31654135338</v>
      </c>
      <c r="F11" s="80">
        <f>F6+F9-F10</f>
        <v>24368.31654135338</v>
      </c>
      <c r="G11" s="80">
        <f>G6+G9-G10</f>
        <v>24368.31654135338</v>
      </c>
      <c r="H11" s="80">
        <f>H6+H9-H10</f>
        <v>24368.31654135338</v>
      </c>
      <c r="I11" s="80">
        <f>I6+I9-I10</f>
        <v>24368.31654135338</v>
      </c>
      <c r="J11" s="80">
        <f>J6+J9-J10</f>
        <v>24368.31654135338</v>
      </c>
      <c r="K11" s="80">
        <f>K6+K9-K10</f>
        <v>24368.31654135338</v>
      </c>
      <c r="L11" s="80">
        <f>L6+L9-L10</f>
        <v>24368.31654135338</v>
      </c>
      <c r="M11" s="80">
        <f>M6+M9-M10</f>
        <v>24368.31654135338</v>
      </c>
      <c r="N11" s="80">
        <f>N6+N9-N10</f>
        <v>38368.31654135339</v>
      </c>
      <c r="O11" s="80">
        <f>O6+O9-O10</f>
        <v>24368.31654135338</v>
      </c>
      <c r="P11" s="80">
        <f>P6+P9-P10</f>
        <v>24368.31654135338</v>
      </c>
      <c r="Q11" s="80">
        <f>Q6+Q9-Q10</f>
        <v>24368.31654135338</v>
      </c>
      <c r="R11" s="80">
        <f>R6+R9-R10</f>
        <v>24368.31654135338</v>
      </c>
      <c r="S11" s="80">
        <f>S6+S9-S10</f>
        <v>24368.31654135338</v>
      </c>
      <c r="T11" s="80">
        <f>T6+T9-T10</f>
        <v>24368.31654135338</v>
      </c>
      <c r="U11" s="80">
        <f>U6+U9-U10</f>
        <v>24368.31654135338</v>
      </c>
      <c r="V11" s="80">
        <f>V6+V9-V10</f>
        <v>46034.98320802005</v>
      </c>
      <c r="W11" s="80">
        <f>W6+W9-W10</f>
        <v>46034.98320802005</v>
      </c>
      <c r="X11" s="80">
        <f>X6+X9-X10</f>
        <v>46034.98320802005</v>
      </c>
      <c r="Y11" s="80">
        <f>Y6+Y9-Y10</f>
        <v>46034.98320802005</v>
      </c>
      <c r="Z11" s="85">
        <f>SUMIF($B$13:$Y$13,"Yes",B11:Y11)</f>
        <v>844699.6641604005</v>
      </c>
      <c r="AA11" s="80">
        <f>SUM(B11:M11)</f>
        <v>635753.1318295737</v>
      </c>
      <c r="AB11" s="46">
        <f>SUM(B11:Y11)</f>
        <v>1028839.596992481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0.04945542543004577</v>
      </c>
      <c r="E12" s="82">
        <f>IF(E13="Yes",IF(SUM($B$10:E10)/(SUM($B$6:E6)+SUM($B$9:E9))&lt;0,999.99,SUM($B$10:E10)/(SUM($B$6:E6)+SUM($B$9:E9))),"")</f>
        <v>0.08950580275385615</v>
      </c>
      <c r="F12" s="82">
        <f>IF(F13="Yes",IF(SUM($B$10:F10)/(SUM($B$6:F6)+SUM($B$9:F9))&lt;0,999.99,SUM($B$10:F10)/(SUM($B$6:F6)+SUM($B$9:F9))),"")</f>
        <v>0.1226010473778878</v>
      </c>
      <c r="G12" s="82">
        <f>IF(G13="Yes",IF(SUM($B$10:G10)/(SUM($B$6:G6)+SUM($B$9:G9))&lt;0,999.99,SUM($B$10:G10)/(SUM($B$6:G6)+SUM($B$9:G9))),"")</f>
        <v>0.1504081529660554</v>
      </c>
      <c r="H12" s="82">
        <f>IF(H13="Yes",IF(SUM($B$10:H10)/(SUM($B$6:H6)+SUM($B$9:H9))&lt;0,999.99,SUM($B$10:H10)/(SUM($B$6:H6)+SUM($B$9:H9))),"")</f>
        <v>0.1741008024135407</v>
      </c>
      <c r="I12" s="82">
        <f>IF(I13="Yes",IF(SUM($B$10:I10)/(SUM($B$6:I6)+SUM($B$9:I9))&lt;0,999.99,SUM($B$10:I10)/(SUM($B$6:I6)+SUM($B$9:I9))),"")</f>
        <v>0.1945292783447866</v>
      </c>
      <c r="J12" s="82">
        <f>IF(J13="Yes",IF(SUM($B$10:J10)/(SUM($B$6:J6)+SUM($B$9:J9))&lt;0,999.99,SUM($B$10:J10)/(SUM($B$6:J6)+SUM($B$9:J9))),"")</f>
        <v>0.2123246729451734</v>
      </c>
      <c r="K12" s="82">
        <f>IF(K13="Yes",IF(SUM($B$10:K10)/(SUM($B$6:K6)+SUM($B$9:K9))&lt;0,999.99,SUM($B$10:K10)/(SUM($B$6:K6)+SUM($B$9:K9))),"")</f>
        <v>0.227965241813916</v>
      </c>
      <c r="L12" s="82">
        <f>IF(L13="Yes",IF(SUM($B$10:L10)/(SUM($B$6:L6)+SUM($B$9:L9))&lt;0,999.99,SUM($B$10:L10)/(SUM($B$6:L6)+SUM($B$9:L9))),"")</f>
        <v>0.2418200297215449</v>
      </c>
      <c r="M12" s="82">
        <f>IF(M13="Yes",IF(SUM($B$10:M10)/(SUM($B$6:M6)+SUM($B$9:M9))&lt;0,999.99,SUM($B$10:M10)/(SUM($B$6:M6)+SUM($B$9:M9))),"")</f>
        <v>0.2541783602972265</v>
      </c>
      <c r="N12" s="82">
        <f>IF(N13="Yes",IF(SUM($B$10:N10)/(SUM($B$6:N6)+SUM($B$9:N9))&lt;0,999.99,SUM($B$10:N10)/(SUM($B$6:N6)+SUM($B$9:N9))),"")</f>
        <v>0.2612001582020099</v>
      </c>
      <c r="O12" s="82">
        <f>IF(O13="Yes",IF(SUM($B$10:O10)/(SUM($B$6:O6)+SUM($B$9:O9))&lt;0,999.99,SUM($B$10:O10)/(SUM($B$6:O6)+SUM($B$9:O9))),"")</f>
        <v>0.2712600692442393</v>
      </c>
      <c r="P12" s="82">
        <f>IF(P13="Yes",IF(SUM($B$10:P10)/(SUM($B$6:P6)+SUM($B$9:P9))&lt;0,999.99,SUM($B$10:P10)/(SUM($B$6:P6)+SUM($B$9:P9))),"")</f>
        <v>0.2803979366299639</v>
      </c>
      <c r="Q12" s="82">
        <f>IF(Q13="Yes",IF(SUM($B$10:Q10)/(SUM($B$6:Q6)+SUM($B$9:Q9))&lt;0,999.99,SUM($B$10:Q10)/(SUM($B$6:Q6)+SUM($B$9:Q9))),"")</f>
        <v>0.2887349707853361</v>
      </c>
      <c r="R12" s="82">
        <f>IF(R13="Yes",IF(SUM($B$10:R10)/(SUM($B$6:R6)+SUM($B$9:R9))&lt;0,999.99,SUM($B$10:R10)/(SUM($B$6:R6)+SUM($B$9:R9))),"")</f>
        <v>0.2963720285095625</v>
      </c>
      <c r="S12" s="82">
        <f>IF(S13="Yes",IF(SUM($B$10:S10)/(SUM($B$6:S6)+SUM($B$9:S9))&lt;0,999.99,SUM($B$10:S10)/(SUM($B$6:S6)+SUM($B$9:S9))),"")</f>
        <v>0.3033937130734597</v>
      </c>
      <c r="T12" s="82">
        <f>IF(T13="Yes",IF(SUM($B$10:T10)/(SUM($B$6:T6)+SUM($B$9:T9))&lt;0,999.99,SUM($B$10:T10)/(SUM($B$6:T6)+SUM($B$9:T9))),"")</f>
        <v>0.3098715215784972</v>
      </c>
      <c r="U12" s="82">
        <f>IF(U13="Yes",IF(SUM($B$10:U10)/(SUM($B$6:U6)+SUM($B$9:U9))&lt;0,999.99,SUM($B$10:U10)/(SUM($B$6:U6)+SUM($B$9:U9))),"")</f>
        <v>0.3158662882322892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70977.44360902256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82125</v>
      </c>
      <c r="C24" s="36">
        <f>IFERROR(Calculations!$P14/12,"")</f>
        <v>82125</v>
      </c>
      <c r="D24" s="36">
        <f>IFERROR(Calculations!$P14/12,"")</f>
        <v>82125</v>
      </c>
      <c r="E24" s="36">
        <f>IFERROR(Calculations!$P14/12,"")</f>
        <v>82125</v>
      </c>
      <c r="F24" s="36">
        <f>IFERROR(Calculations!$P14/12,"")</f>
        <v>82125</v>
      </c>
      <c r="G24" s="36">
        <f>IFERROR(Calculations!$P14/12,"")</f>
        <v>82125</v>
      </c>
      <c r="H24" s="36">
        <f>IFERROR(Calculations!$P14/12,"")</f>
        <v>82125</v>
      </c>
      <c r="I24" s="36">
        <f>IFERROR(Calculations!$P14/12,"")</f>
        <v>82125</v>
      </c>
      <c r="J24" s="36">
        <f>IFERROR(Calculations!$P14/12,"")</f>
        <v>82125</v>
      </c>
      <c r="K24" s="36">
        <f>IFERROR(Calculations!$P14/12,"")</f>
        <v>82125</v>
      </c>
      <c r="L24" s="36">
        <f>IFERROR(Calculations!$P14/12,"")</f>
        <v>82125</v>
      </c>
      <c r="M24" s="36">
        <f>IFERROR(Calculations!$P14/12,"")</f>
        <v>82125</v>
      </c>
      <c r="N24" s="36">
        <f>IFERROR(Calculations!$P14/12,"")</f>
        <v>82125</v>
      </c>
      <c r="O24" s="36">
        <f>IFERROR(Calculations!$P14/12,"")</f>
        <v>82125</v>
      </c>
      <c r="P24" s="36">
        <f>IFERROR(Calculations!$P14/12,"")</f>
        <v>82125</v>
      </c>
      <c r="Q24" s="36">
        <f>IFERROR(Calculations!$P14/12,"")</f>
        <v>82125</v>
      </c>
      <c r="R24" s="36">
        <f>IFERROR(Calculations!$P14/12,"")</f>
        <v>82125</v>
      </c>
      <c r="S24" s="36">
        <f>IFERROR(Calculations!$P14/12,"")</f>
        <v>82125</v>
      </c>
      <c r="T24" s="36">
        <f>IFERROR(Calculations!$P14/12,"")</f>
        <v>82125</v>
      </c>
      <c r="U24" s="36">
        <f>IFERROR(Calculations!$P14/12,"")</f>
        <v>82125</v>
      </c>
      <c r="V24" s="36">
        <f>IFERROR(Calculations!$P14/12,"")</f>
        <v>82125</v>
      </c>
      <c r="W24" s="36">
        <f>IFERROR(Calculations!$P14/12,"")</f>
        <v>82125</v>
      </c>
      <c r="X24" s="36">
        <f>IFERROR(Calculations!$P14/12,"")</f>
        <v>82125</v>
      </c>
      <c r="Y24" s="36">
        <f>IFERROR(Calculations!$P14/12,"")</f>
        <v>82125</v>
      </c>
      <c r="Z24" s="36">
        <f>SUMIF($B$13:$Y$13,"Yes",B24:Y24)</f>
        <v>1642500</v>
      </c>
      <c r="AA24" s="36">
        <f>SUM(B24:M24)</f>
        <v>985500</v>
      </c>
      <c r="AB24" s="46">
        <f>SUM(B24:Y24)</f>
        <v>1971000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8068.421052631577</v>
      </c>
      <c r="C25" s="36">
        <f>IFERROR(Calculations!$P15/12,"")</f>
        <v>8068.421052631577</v>
      </c>
      <c r="D25" s="36">
        <f>IFERROR(Calculations!$P15/12,"")</f>
        <v>8068.421052631577</v>
      </c>
      <c r="E25" s="36">
        <f>IFERROR(Calculations!$P15/12,"")</f>
        <v>8068.421052631577</v>
      </c>
      <c r="F25" s="36">
        <f>IFERROR(Calculations!$P15/12,"")</f>
        <v>8068.421052631577</v>
      </c>
      <c r="G25" s="36">
        <f>IFERROR(Calculations!$P15/12,"")</f>
        <v>8068.421052631577</v>
      </c>
      <c r="H25" s="36">
        <f>IFERROR(Calculations!$P15/12,"")</f>
        <v>8068.421052631577</v>
      </c>
      <c r="I25" s="36">
        <f>IFERROR(Calculations!$P15/12,"")</f>
        <v>8068.421052631577</v>
      </c>
      <c r="J25" s="36">
        <f>IFERROR(Calculations!$P15/12,"")</f>
        <v>8068.421052631577</v>
      </c>
      <c r="K25" s="36">
        <f>IFERROR(Calculations!$P15/12,"")</f>
        <v>8068.421052631577</v>
      </c>
      <c r="L25" s="36">
        <f>IFERROR(Calculations!$P15/12,"")</f>
        <v>8068.421052631577</v>
      </c>
      <c r="M25" s="36">
        <f>IFERROR(Calculations!$P15/12,"")</f>
        <v>8068.421052631577</v>
      </c>
      <c r="N25" s="36">
        <f>IFERROR(Calculations!$P15/12,"")</f>
        <v>8068.421052631577</v>
      </c>
      <c r="O25" s="36">
        <f>IFERROR(Calculations!$P15/12,"")</f>
        <v>8068.421052631577</v>
      </c>
      <c r="P25" s="36">
        <f>IFERROR(Calculations!$P15/12,"")</f>
        <v>8068.421052631577</v>
      </c>
      <c r="Q25" s="36">
        <f>IFERROR(Calculations!$P15/12,"")</f>
        <v>8068.421052631577</v>
      </c>
      <c r="R25" s="36">
        <f>IFERROR(Calculations!$P15/12,"")</f>
        <v>8068.421052631577</v>
      </c>
      <c r="S25" s="36">
        <f>IFERROR(Calculations!$P15/12,"")</f>
        <v>8068.421052631577</v>
      </c>
      <c r="T25" s="36">
        <f>IFERROR(Calculations!$P15/12,"")</f>
        <v>8068.421052631577</v>
      </c>
      <c r="U25" s="36">
        <f>IFERROR(Calculations!$P15/12,"")</f>
        <v>8068.421052631577</v>
      </c>
      <c r="V25" s="36">
        <f>IFERROR(Calculations!$P15/12,"")</f>
        <v>8068.421052631577</v>
      </c>
      <c r="W25" s="36">
        <f>IFERROR(Calculations!$P15/12,"")</f>
        <v>8068.421052631577</v>
      </c>
      <c r="X25" s="36">
        <f>IFERROR(Calculations!$P15/12,"")</f>
        <v>8068.421052631577</v>
      </c>
      <c r="Y25" s="36">
        <f>IFERROR(Calculations!$P15/12,"")</f>
        <v>8068.421052631577</v>
      </c>
      <c r="Z25" s="36">
        <f>SUMIF($B$13:$Y$13,"Yes",B25:Y25)</f>
        <v>161368.4210526315</v>
      </c>
      <c r="AA25" s="36">
        <f>SUM(B25:M25)</f>
        <v>96821.05263157892</v>
      </c>
      <c r="AB25" s="46">
        <f>SUM(B25:Y25)</f>
        <v>193642.1052631578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14000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14000</v>
      </c>
      <c r="AA27" s="36">
        <f>SUM(B27:M27)</f>
        <v>0</v>
      </c>
      <c r="AB27" s="46">
        <f>SUM(B27:Y27)</f>
        <v>14000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90193.42105263157</v>
      </c>
      <c r="C30" s="19">
        <f>SUM(C18:C29)</f>
        <v>90193.42105263157</v>
      </c>
      <c r="D30" s="19">
        <f>SUM(D18:D29)</f>
        <v>90193.42105263157</v>
      </c>
      <c r="E30" s="19">
        <f>SUM(E18:E29)</f>
        <v>90193.42105263157</v>
      </c>
      <c r="F30" s="19">
        <f>SUM(F18:F29)</f>
        <v>90193.42105263157</v>
      </c>
      <c r="G30" s="19">
        <f>SUM(G18:G29)</f>
        <v>90193.42105263157</v>
      </c>
      <c r="H30" s="19">
        <f>SUM(H18:H29)</f>
        <v>90193.42105263157</v>
      </c>
      <c r="I30" s="19">
        <f>SUM(I18:I29)</f>
        <v>90193.42105263157</v>
      </c>
      <c r="J30" s="19">
        <f>SUM(J18:J29)</f>
        <v>90193.42105263157</v>
      </c>
      <c r="K30" s="19">
        <f>SUM(K18:K29)</f>
        <v>90193.42105263157</v>
      </c>
      <c r="L30" s="19">
        <f>SUM(L18:L29)</f>
        <v>90193.42105263157</v>
      </c>
      <c r="M30" s="19">
        <f>SUM(M18:M29)</f>
        <v>90193.42105263157</v>
      </c>
      <c r="N30" s="19">
        <f>SUM(N18:N29)</f>
        <v>104193.4210526316</v>
      </c>
      <c r="O30" s="19">
        <f>SUM(O18:O29)</f>
        <v>90193.42105263157</v>
      </c>
      <c r="P30" s="19">
        <f>SUM(P18:P29)</f>
        <v>90193.42105263157</v>
      </c>
      <c r="Q30" s="19">
        <f>SUM(Q18:Q29)</f>
        <v>90193.42105263157</v>
      </c>
      <c r="R30" s="19">
        <f>SUM(R18:R29)</f>
        <v>90193.42105263157</v>
      </c>
      <c r="S30" s="19">
        <f>SUM(S18:S29)</f>
        <v>90193.42105263157</v>
      </c>
      <c r="T30" s="19">
        <f>SUM(T18:T29)</f>
        <v>90193.42105263157</v>
      </c>
      <c r="U30" s="19">
        <f>SUM(U18:U29)</f>
        <v>90193.42105263157</v>
      </c>
      <c r="V30" s="19">
        <f>SUM(V18:V29)</f>
        <v>90193.42105263157</v>
      </c>
      <c r="W30" s="19">
        <f>SUM(W18:W29)</f>
        <v>90193.42105263157</v>
      </c>
      <c r="X30" s="19">
        <f>SUM(X18:X29)</f>
        <v>90193.42105263157</v>
      </c>
      <c r="Y30" s="19">
        <f>SUM(Y18:Y29)</f>
        <v>90193.42105263157</v>
      </c>
      <c r="Z30" s="19">
        <f>SUMIF($B$13:$Y$13,"Yes",B30:Y30)</f>
        <v>1817868.421052631</v>
      </c>
      <c r="AA30" s="19">
        <f>SUM(B30:M30)</f>
        <v>1082321.052631579</v>
      </c>
      <c r="AB30" s="19">
        <f>SUM(B30:Y30)</f>
        <v>2178642.105263156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10037.5</v>
      </c>
      <c r="C74" s="46">
        <f>SUM(Calculations!$Q$14:$Q$16)/12</f>
        <v>10037.5</v>
      </c>
      <c r="D74" s="46">
        <f>SUM(Calculations!$Q$14:$Q$16)/12</f>
        <v>10037.5</v>
      </c>
      <c r="E74" s="46">
        <f>SUM(Calculations!$Q$14:$Q$16)/12</f>
        <v>10037.5</v>
      </c>
      <c r="F74" s="46">
        <f>SUM(Calculations!$Q$14:$Q$16)/12</f>
        <v>10037.5</v>
      </c>
      <c r="G74" s="46">
        <f>SUM(Calculations!$Q$14:$Q$16)/12</f>
        <v>10037.5</v>
      </c>
      <c r="H74" s="46">
        <f>SUM(Calculations!$Q$14:$Q$16)/12</f>
        <v>10037.5</v>
      </c>
      <c r="I74" s="46">
        <f>SUM(Calculations!$Q$14:$Q$16)/12</f>
        <v>10037.5</v>
      </c>
      <c r="J74" s="46">
        <f>SUM(Calculations!$Q$14:$Q$16)/12</f>
        <v>10037.5</v>
      </c>
      <c r="K74" s="46">
        <f>SUM(Calculations!$Q$14:$Q$16)/12</f>
        <v>10037.5</v>
      </c>
      <c r="L74" s="46">
        <f>SUM(Calculations!$Q$14:$Q$16)/12</f>
        <v>10037.5</v>
      </c>
      <c r="M74" s="46">
        <f>SUM(Calculations!$Q$14:$Q$16)/12</f>
        <v>10037.5</v>
      </c>
      <c r="N74" s="46">
        <f>SUM(Calculations!$Q$14:$Q$16)/12</f>
        <v>10037.5</v>
      </c>
      <c r="O74" s="46">
        <f>SUM(Calculations!$Q$14:$Q$16)/12</f>
        <v>10037.5</v>
      </c>
      <c r="P74" s="46">
        <f>SUM(Calculations!$Q$14:$Q$16)/12</f>
        <v>10037.5</v>
      </c>
      <c r="Q74" s="46">
        <f>SUM(Calculations!$Q$14:$Q$16)/12</f>
        <v>10037.5</v>
      </c>
      <c r="R74" s="46">
        <f>SUM(Calculations!$Q$14:$Q$16)/12</f>
        <v>10037.5</v>
      </c>
      <c r="S74" s="46">
        <f>SUM(Calculations!$Q$14:$Q$16)/12</f>
        <v>10037.5</v>
      </c>
      <c r="T74" s="46">
        <f>SUM(Calculations!$Q$14:$Q$16)/12</f>
        <v>10037.5</v>
      </c>
      <c r="U74" s="46">
        <f>SUM(Calculations!$Q$14:$Q$16)/12</f>
        <v>10037.5</v>
      </c>
      <c r="V74" s="46">
        <f>SUM(Calculations!$Q$14:$Q$16)/12</f>
        <v>10037.5</v>
      </c>
      <c r="W74" s="46">
        <f>SUM(Calculations!$Q$14:$Q$16)/12</f>
        <v>10037.5</v>
      </c>
      <c r="X74" s="46">
        <f>SUM(Calculations!$Q$14:$Q$16)/12</f>
        <v>10037.5</v>
      </c>
      <c r="Y74" s="46">
        <f>SUM(Calculations!$Q$14:$Q$16)/12</f>
        <v>10037.5</v>
      </c>
      <c r="Z74" s="46">
        <f>SUMIF($B$13:$Y$13,"Yes",B74:Y74)</f>
        <v>200750</v>
      </c>
      <c r="AA74" s="46">
        <f>SUM(B74:M74)</f>
        <v>120450</v>
      </c>
      <c r="AB74" s="46">
        <f>SUM(B74:Y74)</f>
        <v>240900</v>
      </c>
    </row>
    <row r="75" spans="1:30">
      <c r="A75" s="16" t="s">
        <v>47</v>
      </c>
      <c r="B75" s="46">
        <f>SUM(Calculations!$R$14:$R$16)/12</f>
        <v>473.5555555555556</v>
      </c>
      <c r="C75" s="46">
        <f>SUM(Calculations!$R$14:$R$16)/12</f>
        <v>473.5555555555556</v>
      </c>
      <c r="D75" s="46">
        <f>SUM(Calculations!$R$14:$R$16)/12</f>
        <v>473.5555555555556</v>
      </c>
      <c r="E75" s="46">
        <f>SUM(Calculations!$R$14:$R$16)/12</f>
        <v>473.5555555555556</v>
      </c>
      <c r="F75" s="46">
        <f>SUM(Calculations!$R$14:$R$16)/12</f>
        <v>473.5555555555556</v>
      </c>
      <c r="G75" s="46">
        <f>SUM(Calculations!$R$14:$R$16)/12</f>
        <v>473.5555555555556</v>
      </c>
      <c r="H75" s="46">
        <f>SUM(Calculations!$R$14:$R$16)/12</f>
        <v>473.5555555555556</v>
      </c>
      <c r="I75" s="46">
        <f>SUM(Calculations!$R$14:$R$16)/12</f>
        <v>473.5555555555556</v>
      </c>
      <c r="J75" s="46">
        <f>SUM(Calculations!$R$14:$R$16)/12</f>
        <v>473.5555555555556</v>
      </c>
      <c r="K75" s="46">
        <f>SUM(Calculations!$R$14:$R$16)/12</f>
        <v>473.5555555555556</v>
      </c>
      <c r="L75" s="46">
        <f>SUM(Calculations!$R$14:$R$16)/12</f>
        <v>473.5555555555556</v>
      </c>
      <c r="M75" s="46">
        <f>SUM(Calculations!$R$14:$R$16)/12</f>
        <v>473.5555555555556</v>
      </c>
      <c r="N75" s="46">
        <f>SUM(Calculations!$R$14:$R$16)/12</f>
        <v>473.5555555555556</v>
      </c>
      <c r="O75" s="46">
        <f>SUM(Calculations!$R$14:$R$16)/12</f>
        <v>473.5555555555556</v>
      </c>
      <c r="P75" s="46">
        <f>SUM(Calculations!$R$14:$R$16)/12</f>
        <v>473.5555555555556</v>
      </c>
      <c r="Q75" s="46">
        <f>SUM(Calculations!$R$14:$R$16)/12</f>
        <v>473.5555555555556</v>
      </c>
      <c r="R75" s="46">
        <f>SUM(Calculations!$R$14:$R$16)/12</f>
        <v>473.5555555555556</v>
      </c>
      <c r="S75" s="46">
        <f>SUM(Calculations!$R$14:$R$16)/12</f>
        <v>473.5555555555556</v>
      </c>
      <c r="T75" s="46">
        <f>SUM(Calculations!$R$14:$R$16)/12</f>
        <v>473.5555555555556</v>
      </c>
      <c r="U75" s="46">
        <f>SUM(Calculations!$R$14:$R$16)/12</f>
        <v>473.5555555555556</v>
      </c>
      <c r="V75" s="46">
        <f>SUM(Calculations!$R$14:$R$16)/12</f>
        <v>473.5555555555556</v>
      </c>
      <c r="W75" s="46">
        <f>SUM(Calculations!$R$14:$R$16)/12</f>
        <v>473.5555555555556</v>
      </c>
      <c r="X75" s="46">
        <f>SUM(Calculations!$R$14:$R$16)/12</f>
        <v>473.5555555555556</v>
      </c>
      <c r="Y75" s="46">
        <f>SUM(Calculations!$R$14:$R$16)/12</f>
        <v>473.5555555555556</v>
      </c>
      <c r="Z75" s="46">
        <f>SUMIF($B$13:$Y$13,"Yes",B75:Y75)</f>
        <v>9471.111111111109</v>
      </c>
      <c r="AA75" s="46">
        <f>SUM(B75:M75)</f>
        <v>5682.666666666667</v>
      </c>
      <c r="AB75" s="46">
        <f>SUM(B75:Y75)</f>
        <v>11365.33333333333</v>
      </c>
    </row>
    <row r="76" spans="1:30">
      <c r="A76" s="16" t="s">
        <v>48</v>
      </c>
      <c r="B76" s="46">
        <f>SUM(Calculations!$S$14:$S$16)/12</f>
        <v>2957.393483709273</v>
      </c>
      <c r="C76" s="46">
        <f>SUM(Calculations!$S$14:$S$16)/12</f>
        <v>2957.393483709273</v>
      </c>
      <c r="D76" s="46">
        <f>SUM(Calculations!$S$14:$S$16)/12</f>
        <v>2957.393483709273</v>
      </c>
      <c r="E76" s="46">
        <f>SUM(Calculations!$S$14:$S$16)/12</f>
        <v>2957.393483709273</v>
      </c>
      <c r="F76" s="46">
        <f>SUM(Calculations!$S$14:$S$16)/12</f>
        <v>2957.393483709273</v>
      </c>
      <c r="G76" s="46">
        <f>SUM(Calculations!$S$14:$S$16)/12</f>
        <v>2957.393483709273</v>
      </c>
      <c r="H76" s="46">
        <f>SUM(Calculations!$S$14:$S$16)/12</f>
        <v>2957.393483709273</v>
      </c>
      <c r="I76" s="46">
        <f>SUM(Calculations!$S$14:$S$16)/12</f>
        <v>2957.393483709273</v>
      </c>
      <c r="J76" s="46">
        <f>SUM(Calculations!$S$14:$S$16)/12</f>
        <v>2957.393483709273</v>
      </c>
      <c r="K76" s="46">
        <f>SUM(Calculations!$S$14:$S$16)/12</f>
        <v>2957.393483709273</v>
      </c>
      <c r="L76" s="46">
        <f>SUM(Calculations!$S$14:$S$16)/12</f>
        <v>2957.393483709273</v>
      </c>
      <c r="M76" s="46">
        <f>SUM(Calculations!$S$14:$S$16)/12</f>
        <v>2957.393483709273</v>
      </c>
      <c r="N76" s="46">
        <f>SUM(Calculations!$S$14:$S$16)/12</f>
        <v>2957.393483709273</v>
      </c>
      <c r="O76" s="46">
        <f>SUM(Calculations!$S$14:$S$16)/12</f>
        <v>2957.393483709273</v>
      </c>
      <c r="P76" s="46">
        <f>SUM(Calculations!$S$14:$S$16)/12</f>
        <v>2957.393483709273</v>
      </c>
      <c r="Q76" s="46">
        <f>SUM(Calculations!$S$14:$S$16)/12</f>
        <v>2957.393483709273</v>
      </c>
      <c r="R76" s="46">
        <f>SUM(Calculations!$S$14:$S$16)/12</f>
        <v>2957.393483709273</v>
      </c>
      <c r="S76" s="46">
        <f>SUM(Calculations!$S$14:$S$16)/12</f>
        <v>2957.393483709273</v>
      </c>
      <c r="T76" s="46">
        <f>SUM(Calculations!$S$14:$S$16)/12</f>
        <v>2957.393483709273</v>
      </c>
      <c r="U76" s="46">
        <f>SUM(Calculations!$S$14:$S$16)/12</f>
        <v>2957.393483709273</v>
      </c>
      <c r="V76" s="46">
        <f>SUM(Calculations!$S$14:$S$16)/12</f>
        <v>2957.393483709273</v>
      </c>
      <c r="W76" s="46">
        <f>SUM(Calculations!$S$14:$S$16)/12</f>
        <v>2957.393483709273</v>
      </c>
      <c r="X76" s="46">
        <f>SUM(Calculations!$S$14:$S$16)/12</f>
        <v>2957.393483709273</v>
      </c>
      <c r="Y76" s="46">
        <f>SUM(Calculations!$S$14:$S$16)/12</f>
        <v>2957.393483709273</v>
      </c>
      <c r="Z76" s="46">
        <f>SUMIF($B$13:$Y$13,"Yes",B76:Y76)</f>
        <v>59147.86967418548</v>
      </c>
      <c r="AA76" s="46">
        <f>SUM(B76:M76)</f>
        <v>35488.72180451128</v>
      </c>
      <c r="AB76" s="46">
        <f>SUM(B76:Y76)</f>
        <v>70977.44360902256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30689.9888053467</v>
      </c>
      <c r="C81" s="46">
        <f>(SUM($AA$18:$AA$29)-SUM($AA$36,$AA$42,$AA$48,$AA$54,$AA$60,$AA$66,$AA$72:$AA$79))*Parameters!$B$37/12</f>
        <v>30689.9888053467</v>
      </c>
      <c r="D81" s="46">
        <f>(SUM($AA$18:$AA$29)-SUM($AA$36,$AA$42,$AA$48,$AA$54,$AA$60,$AA$66,$AA$72:$AA$79))*Parameters!$B$37/12</f>
        <v>30689.9888053467</v>
      </c>
      <c r="E81" s="46">
        <f>(SUM($AA$18:$AA$29)-SUM($AA$36,$AA$42,$AA$48,$AA$54,$AA$60,$AA$66,$AA$72:$AA$79))*Parameters!$B$37/12</f>
        <v>30689.9888053467</v>
      </c>
      <c r="F81" s="46">
        <f>(SUM($AA$18:$AA$29)-SUM($AA$36,$AA$42,$AA$48,$AA$54,$AA$60,$AA$66,$AA$72:$AA$79))*Parameters!$B$37/12</f>
        <v>30689.9888053467</v>
      </c>
      <c r="G81" s="46">
        <f>(SUM($AA$18:$AA$29)-SUM($AA$36,$AA$42,$AA$48,$AA$54,$AA$60,$AA$66,$AA$72:$AA$79))*Parameters!$B$37/12</f>
        <v>30689.9888053467</v>
      </c>
      <c r="H81" s="46">
        <f>(SUM($AA$18:$AA$29)-SUM($AA$36,$AA$42,$AA$48,$AA$54,$AA$60,$AA$66,$AA$72:$AA$79))*Parameters!$B$37/12</f>
        <v>30689.9888053467</v>
      </c>
      <c r="I81" s="46">
        <f>(SUM($AA$18:$AA$29)-SUM($AA$36,$AA$42,$AA$48,$AA$54,$AA$60,$AA$66,$AA$72:$AA$79))*Parameters!$B$37/12</f>
        <v>30689.9888053467</v>
      </c>
      <c r="J81" s="46">
        <f>(SUM($AA$18:$AA$29)-SUM($AA$36,$AA$42,$AA$48,$AA$54,$AA$60,$AA$66,$AA$72:$AA$79))*Parameters!$B$37/12</f>
        <v>30689.9888053467</v>
      </c>
      <c r="K81" s="46">
        <f>(SUM($AA$18:$AA$29)-SUM($AA$36,$AA$42,$AA$48,$AA$54,$AA$60,$AA$66,$AA$72:$AA$79))*Parameters!$B$37/12</f>
        <v>30689.9888053467</v>
      </c>
      <c r="L81" s="46">
        <f>(SUM($AA$18:$AA$29)-SUM($AA$36,$AA$42,$AA$48,$AA$54,$AA$60,$AA$66,$AA$72:$AA$79))*Parameters!$B$37/12</f>
        <v>30689.9888053467</v>
      </c>
      <c r="M81" s="46">
        <f>(SUM($AA$18:$AA$29)-SUM($AA$36,$AA$42,$AA$48,$AA$54,$AA$60,$AA$66,$AA$72:$AA$79))*Parameters!$B$37/12</f>
        <v>30689.9888053467</v>
      </c>
      <c r="N81" s="46">
        <f>(SUM($AA$18:$AA$29)-SUM($AA$36,$AA$42,$AA$48,$AA$54,$AA$60,$AA$66,$AA$72:$AA$79))*Parameters!$B$37/12</f>
        <v>30689.9888053467</v>
      </c>
      <c r="O81" s="46">
        <f>(SUM($AA$18:$AA$29)-SUM($AA$36,$AA$42,$AA$48,$AA$54,$AA$60,$AA$66,$AA$72:$AA$79))*Parameters!$B$37/12</f>
        <v>30689.9888053467</v>
      </c>
      <c r="P81" s="46">
        <f>(SUM($AA$18:$AA$29)-SUM($AA$36,$AA$42,$AA$48,$AA$54,$AA$60,$AA$66,$AA$72:$AA$79))*Parameters!$B$37/12</f>
        <v>30689.9888053467</v>
      </c>
      <c r="Q81" s="46">
        <f>(SUM($AA$18:$AA$29)-SUM($AA$36,$AA$42,$AA$48,$AA$54,$AA$60,$AA$66,$AA$72:$AA$79))*Parameters!$B$37/12</f>
        <v>30689.9888053467</v>
      </c>
      <c r="R81" s="46">
        <f>(SUM($AA$18:$AA$29)-SUM($AA$36,$AA$42,$AA$48,$AA$54,$AA$60,$AA$66,$AA$72:$AA$79))*Parameters!$B$37/12</f>
        <v>30689.9888053467</v>
      </c>
      <c r="S81" s="46">
        <f>(SUM($AA$18:$AA$29)-SUM($AA$36,$AA$42,$AA$48,$AA$54,$AA$60,$AA$66,$AA$72:$AA$79))*Parameters!$B$37/12</f>
        <v>30689.9888053467</v>
      </c>
      <c r="T81" s="46">
        <f>(SUM($AA$18:$AA$29)-SUM($AA$36,$AA$42,$AA$48,$AA$54,$AA$60,$AA$66,$AA$72:$AA$79))*Parameters!$B$37/12</f>
        <v>30689.9888053467</v>
      </c>
      <c r="U81" s="46">
        <f>(SUM($AA$18:$AA$29)-SUM($AA$36,$AA$42,$AA$48,$AA$54,$AA$60,$AA$66,$AA$72:$AA$79))*Parameters!$B$37/12</f>
        <v>30689.9888053467</v>
      </c>
      <c r="V81" s="46">
        <f>(SUM($AA$18:$AA$29)-SUM($AA$36,$AA$42,$AA$48,$AA$54,$AA$60,$AA$66,$AA$72:$AA$79))*Parameters!$B$37/12</f>
        <v>30689.9888053467</v>
      </c>
      <c r="W81" s="46">
        <f>(SUM($AA$18:$AA$29)-SUM($AA$36,$AA$42,$AA$48,$AA$54,$AA$60,$AA$66,$AA$72:$AA$79))*Parameters!$B$37/12</f>
        <v>30689.9888053467</v>
      </c>
      <c r="X81" s="46">
        <f>(SUM($AA$18:$AA$29)-SUM($AA$36,$AA$42,$AA$48,$AA$54,$AA$60,$AA$66,$AA$72:$AA$79))*Parameters!$B$37/12</f>
        <v>30689.9888053467</v>
      </c>
      <c r="Y81" s="46">
        <f>(SUM($AA$18:$AA$29)-SUM($AA$36,$AA$42,$AA$48,$AA$54,$AA$60,$AA$66,$AA$72:$AA$79))*Parameters!$B$37/12</f>
        <v>30689.9888053467</v>
      </c>
      <c r="Z81" s="46">
        <f>SUMIF($B$13:$Y$13,"Yes",B81:Y81)</f>
        <v>613799.7761069339</v>
      </c>
      <c r="AA81" s="46">
        <f>SUM(B81:M81)</f>
        <v>368279.8656641604</v>
      </c>
      <c r="AB81" s="46">
        <f>SUM(B81:Y81)</f>
        <v>736559.7313283206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44158.43784461152</v>
      </c>
      <c r="C88" s="19">
        <f>SUM(C72:C82,C66,C60,C54,C48,C42,C36)</f>
        <v>44158.43784461152</v>
      </c>
      <c r="D88" s="19">
        <f>SUM(D72:D82,D66,D60,D54,D48,D42,D36)</f>
        <v>44158.43784461152</v>
      </c>
      <c r="E88" s="19">
        <f>SUM(E72:E82,E66,E60,E54,E48,E42,E36)</f>
        <v>44158.43784461152</v>
      </c>
      <c r="F88" s="19">
        <f>SUM(F72:F82,F66,F60,F54,F48,F42,F36)</f>
        <v>44158.43784461152</v>
      </c>
      <c r="G88" s="19">
        <f>SUM(G72:G82,G66,G60,G54,G48,G42,G36)</f>
        <v>44158.43784461152</v>
      </c>
      <c r="H88" s="19">
        <f>SUM(H72:H82,H66,H60,H54,H48,H42,H36)</f>
        <v>44158.43784461152</v>
      </c>
      <c r="I88" s="19">
        <f>SUM(I72:I82,I66,I60,I54,I48,I42,I36)</f>
        <v>44158.43784461152</v>
      </c>
      <c r="J88" s="19">
        <f>SUM(J72:J82,J66,J60,J54,J48,J42,J36)</f>
        <v>44158.43784461152</v>
      </c>
      <c r="K88" s="19">
        <f>SUM(K72:K82,K66,K60,K54,K48,K42,K36)</f>
        <v>44158.43784461152</v>
      </c>
      <c r="L88" s="19">
        <f>SUM(L72:L82,L66,L60,L54,L48,L42,L36)</f>
        <v>44158.43784461152</v>
      </c>
      <c r="M88" s="19">
        <f>SUM(M72:M82,M66,M60,M54,M48,M42,M36)</f>
        <v>44158.43784461152</v>
      </c>
      <c r="N88" s="19">
        <f>SUM(N72:N82,N66,N60,N54,N48,N42,N36)</f>
        <v>44158.43784461152</v>
      </c>
      <c r="O88" s="19">
        <f>SUM(O72:O82,O66,O60,O54,O48,O42,O36)</f>
        <v>44158.43784461152</v>
      </c>
      <c r="P88" s="19">
        <f>SUM(P72:P82,P66,P60,P54,P48,P42,P36)</f>
        <v>44158.43784461152</v>
      </c>
      <c r="Q88" s="19">
        <f>SUM(Q72:Q82,Q66,Q60,Q54,Q48,Q42,Q36)</f>
        <v>44158.43784461152</v>
      </c>
      <c r="R88" s="19">
        <f>SUM(R72:R82,R66,R60,R54,R48,R42,R36)</f>
        <v>44158.43784461152</v>
      </c>
      <c r="S88" s="19">
        <f>SUM(S72:S82,S66,S60,S54,S48,S42,S36)</f>
        <v>44158.43784461152</v>
      </c>
      <c r="T88" s="19">
        <f>SUM(T72:T82,T66,T60,T54,T48,T42,T36)</f>
        <v>44158.43784461152</v>
      </c>
      <c r="U88" s="19">
        <f>SUM(U72:U82,U66,U60,U54,U48,U42,U36)</f>
        <v>44158.43784461152</v>
      </c>
      <c r="V88" s="19">
        <f>SUM(V72:V82,V66,V60,V54,V48,V42,V36)</f>
        <v>44158.43784461152</v>
      </c>
      <c r="W88" s="19">
        <f>SUM(W72:W82,W66,W60,W54,W48,W42,W36)</f>
        <v>44158.43784461152</v>
      </c>
      <c r="X88" s="19">
        <f>SUM(X72:X82,X66,X60,X54,X48,X42,X36)</f>
        <v>44158.43784461152</v>
      </c>
      <c r="Y88" s="19">
        <f>SUM(Y72:Y82,Y66,Y60,Y54,Y48,Y42,Y36)</f>
        <v>44158.43784461152</v>
      </c>
      <c r="Z88" s="19">
        <f>SUMIF($B$13:$Y$13,"Yes",B88:Y88)</f>
        <v>883168.75689223</v>
      </c>
      <c r="AA88" s="19">
        <f>SUM(B88:M88)</f>
        <v>529901.2541353382</v>
      </c>
      <c r="AB88" s="19">
        <f>SUM(B88:Y88)</f>
        <v>1059802.508270676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1036000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7636000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 t="s">
        <v>105</v>
      </c>
      <c r="B20" s="16"/>
      <c r="C20" s="143">
        <v>80</v>
      </c>
      <c r="D20" s="147">
        <v>70</v>
      </c>
      <c r="E20" s="16"/>
      <c r="F20" s="147" t="s">
        <v>103</v>
      </c>
      <c r="G20" s="16"/>
      <c r="H20" s="16"/>
      <c r="I20" s="147" t="s">
        <v>104</v>
      </c>
      <c r="J20" s="147">
        <v>10</v>
      </c>
      <c r="K20" s="147">
        <v>10</v>
      </c>
      <c r="L20" s="30">
        <v>6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450000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5000000</v>
      </c>
    </row>
    <row r="49" spans="1:48" customHeight="1" ht="30">
      <c r="A49" s="57" t="s">
        <v>128</v>
      </c>
      <c r="B49" s="161">
        <v>150000</v>
      </c>
    </row>
    <row r="50" spans="1:48">
      <c r="A50" s="43"/>
      <c r="B50" s="36"/>
    </row>
    <row r="51" spans="1:48">
      <c r="A51" s="58" t="s">
        <v>129</v>
      </c>
      <c r="B51" s="161">
        <v>50000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300000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250000</v>
      </c>
      <c r="C66" s="163">
        <v>50000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300000</v>
      </c>
      <c r="C67" s="165">
        <v>60000</v>
      </c>
      <c r="D67" s="49">
        <f>INDEX(Parameters!$D$79:$D$90,MATCH(Inputs!A67,Parameters!$C$79:$C$90,0))</f>
        <v>3</v>
      </c>
    </row>
    <row r="68" spans="1:48">
      <c r="A68" s="143" t="s">
        <v>146</v>
      </c>
      <c r="B68" s="157">
        <v>450000</v>
      </c>
      <c r="C68" s="165">
        <v>100000</v>
      </c>
      <c r="D68" s="49">
        <f>INDEX(Parameters!$D$79:$D$90,MATCH(Inputs!A68,Parameters!$C$79:$C$90,0))</f>
        <v>5</v>
      </c>
    </row>
    <row r="69" spans="1:48">
      <c r="A69" s="143" t="s">
        <v>147</v>
      </c>
      <c r="B69" s="157">
        <v>250000</v>
      </c>
      <c r="C69" s="165">
        <v>120000</v>
      </c>
      <c r="D69" s="49">
        <f>INDEX(Parameters!$D$79:$D$90,MATCH(Inputs!A69,Parameters!$C$79:$C$90,0))</f>
        <v>7</v>
      </c>
    </row>
    <row r="70" spans="1:48">
      <c r="A70" s="143" t="s">
        <v>148</v>
      </c>
      <c r="B70" s="157">
        <v>320000</v>
      </c>
      <c r="C70" s="165">
        <v>130000</v>
      </c>
      <c r="D70" s="49">
        <f>INDEX(Parameters!$D$79:$D$90,MATCH(Inputs!A70,Parameters!$C$79:$C$90,0))</f>
        <v>8</v>
      </c>
    </row>
    <row r="71" spans="1:48">
      <c r="A71" s="144" t="s">
        <v>149</v>
      </c>
      <c r="B71" s="158">
        <v>350000</v>
      </c>
      <c r="C71" s="167">
        <v>150000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11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18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985500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80</v>
      </c>
      <c r="E15" s="16">
        <f>Inputs!D20</f>
        <v>70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0.1</v>
      </c>
      <c r="N15" s="130">
        <f>Inputs!K20/100</f>
        <v>0.1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96821.05263157893</v>
      </c>
      <c r="Q15" s="64">
        <f>IFERROR(D15*INDEX(Parameters!$A$22:$P$29,MATCH(Calculations!$A15,Parameters!$A$22:$A$29,0),MATCH(Parameters!$L$22,Parameters!$A$22:$P$22,0))*IF(Inputs!I20="Always",1,IF(Inputs!I20="Sometimes",0.5,0))*365,"")</f>
        <v>29200</v>
      </c>
      <c r="R15" s="64">
        <f>IFERROR(D15*INDEX(Parameters!$A$22:$P$29,MATCH(Calculations!$A15,Parameters!$A$22:$A$29,0),MATCH(Parameters!$M$22,Parameters!$A$22:$P$22,0)),"")</f>
        <v>682.6666666666666</v>
      </c>
      <c r="S15" s="64">
        <f>IFERROR(D15*INDEX(Parameters!$A$22:$P$29,MATCH(Calculations!$A15,Parameters!$A$22:$A$29,0),MATCH(Parameters!$N$22,Parameters!$A$22:$P$22,0)),"")</f>
        <v>5488.721804511278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43252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43282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43344</v>
      </c>
      <c r="F38" t="s">
        <v>221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43435</v>
      </c>
      <c r="F41" t="s">
        <v>222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43556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43586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43617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43647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43678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43709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105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310</v>
      </c>
      <c r="I52" s="12" t="s">
        <v>122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139</v>
      </c>
      <c r="F77" s="12" t="s">
        <v>139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122</v>
      </c>
      <c r="I78" s="12" t="s">
        <v>352</v>
      </c>
      <c r="J78" s="70" t="s">
        <v>353</v>
      </c>
      <c r="K78" s="12" t="s">
        <v>139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161</v>
      </c>
      <c r="J79" s="70" t="s">
        <v>356</v>
      </c>
      <c r="K79" s="12" t="s">
        <v>139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