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<sst xmlns="http://schemas.openxmlformats.org/spreadsheetml/2006/main" uniqueCount="371">
  <si>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</si>
  <si>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</si>
  <si>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</si>
  <si>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</si>
  <si>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</si>
  <si>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</si>
  <si>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</si>
  <si>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</si>
  <si>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</si>
  <si>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</si>
  <si>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</si>
  <si>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</si>
  <si>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</si>
  <si>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</si>
  <si>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</si>
  <si>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</si>
  <si>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</si>
  <si>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</si>
  <si>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</si>
  <si>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</si>
  <si>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</si>
  <si>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</si>
  <si>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</si>
  <si>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</si>
  <si>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</si>
  <si>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</si>
  <si>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</si>
  <si>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</si>
  <si>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</si>
  <si>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</si>
  <si>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</si>
  <si>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</si>
  <si>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</si>
  <si>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</si>
  <si>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</si>
  <si>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</si>
  <si>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</si>
  <si>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</si>
  <si>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</si>
  <si>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</si>
  <si>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</si>
  <si>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</si>
  <si>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</si>
  <si>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</si>
  <si>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</si>
  <si>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</si>
  <si>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</si>
  <si>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</si>
  <si>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</si>
  <si>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</si>
  <si>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</si>
  <si>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</si>
  <si>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</si>
  <si>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</si>
  <si>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</si>
  <si>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</si>
  <si>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</si>
  <si>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</si>
  <si>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</si>
  <si>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</si>
  <si>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</si>
  <si>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</si>
  <si>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</si>
  <si>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</si>
  <si>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</si>
  <si>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</si>
  <si>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</si>
  <si>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</si>
  <si>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</si>
  <si>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</si>
  <si>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</si>
  <si>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</si>
  <si>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</si>
  <si>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</si>
  <si>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</si>
  <si>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</si>
  <si>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</si>
  <si>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</si>
  <si>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</si>
  <si>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</si>
  <si>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</si>
  <si>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</si>
  <si>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</si>
  <si>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</si>
  <si>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</si>
  <si>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</si>
  <si>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</si>
  <si>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</si>
  <si>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</si>
  <si>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</si>
  <si>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</si>
  <si>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both manure and inorganic</t>
  </si>
  <si>
    <t>Yes</t>
  </si>
  <si>
    <t>Yes using a diesel pump</t>
  </si>
  <si>
    <t>April</t>
  </si>
  <si>
    <t>Maize</t>
  </si>
  <si>
    <t>July</t>
  </si>
  <si>
    <t>Bananas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</si>
  <si>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</si>
  <si>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</si>
  <si>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</si>
  <si>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</si>
  <si>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</si>
  <si>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</si>
  <si>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</si>
  <si>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</si>
  <si>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</si>
  <si>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</si>
  <si>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</si>
  <si>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</si>
  <si>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</si>
  <si>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</si>
  <si>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</si>
  <si>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</si>
  <si>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</si>
  <si>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</si>
  <si>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shop and mobile money services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</si>
  <si>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</si>
  <si>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</si>
  <si>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</si>
  <si>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</si>
  <si>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</si>
  <si>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</si>
  <si>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</si>
  <si>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</si>
  <si>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</si>
  <si>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</si>
  <si>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</si>
  <si>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</si>
  <si>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</si>
  <si>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</si>
  <si>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</si>
  <si>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</si>
  <si>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</si>
  <si>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</si>
  <si>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</si>
  <si>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</si>
  <si>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</si>
  <si>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</si>
  <si>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</si>
  <si>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</si>
  <si>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</si>
  <si>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</si>
  <si>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</si>
  <si>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2/2/2016</t>
  </si>
  <si>
    <t>musoni</t>
  </si>
  <si>
    <t>No</t>
  </si>
  <si>
    <t>The client paid with a trp of 54% this is because some times she used to pay and the payment was posted to suspence account</t>
  </si>
  <si>
    <t>12/15/2017</t>
  </si>
  <si>
    <t>well paid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</si>
  <si>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</si>
  <si>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</si>
  <si>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</si>
  <si>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</si>
  <si>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</si>
  <si>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</si>
  <si>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</si>
  <si>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</si>
  <si>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</si>
  <si>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</si>
  <si>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</si>
  <si>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2018/2/19</t>
  </si>
  <si>
    <t>Loan terms</t>
  </si>
  <si>
    <t>Expected disbursement date</t>
  </si>
  <si>
    <t>2018/2/22</t>
  </si>
  <si>
    <t>Expected first repayment date</t>
  </si>
  <si>
    <t>2018/4/3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</si>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</sst>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Maize, Bananas,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shop and mobile money services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0.2737418228002518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0.01804338394793926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22000</v>
      </c>
    </row>
    <row r="17" spans="1:7">
      <c r="B17" s="1" t="s">
        <v>11</v>
      </c>
      <c r="C17" s="36">
        <f>SUM(Output!B6:M6)</f>
        <v>734044.6721821761</v>
      </c>
    </row>
    <row r="18" spans="1:7">
      <c r="B18" s="1" t="s">
        <v>12</v>
      </c>
      <c r="C18" s="36">
        <f>MIN(Output!B6:M6)</f>
        <v>52263.74043432355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66226.66054666095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200000</v>
      </c>
    </row>
    <row r="25" spans="1:7">
      <c r="B25" s="1" t="s">
        <v>18</v>
      </c>
      <c r="C25" s="36">
        <f>MAX(Inputs!A56:A60)</f>
        <v>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63461.83812885356</v>
      </c>
      <c r="C6" s="51">
        <f>C30-C88</f>
        <v>65465.24267973931</v>
      </c>
      <c r="D6" s="51">
        <f>D30-D88</f>
        <v>52263.74043432355</v>
      </c>
      <c r="E6" s="51">
        <f>E30-E88</f>
        <v>65144.1138671872</v>
      </c>
      <c r="F6" s="51">
        <f>F30-F88</f>
        <v>66226.66054666095</v>
      </c>
      <c r="G6" s="51">
        <f>G30-G88</f>
        <v>54460.74043432355</v>
      </c>
      <c r="H6" s="51">
        <f>H30-H88</f>
        <v>63461.83812885356</v>
      </c>
      <c r="I6" s="51">
        <f>I30-I88</f>
        <v>65465.24267973931</v>
      </c>
      <c r="J6" s="51">
        <f>J30-J88</f>
        <v>52263.74043432355</v>
      </c>
      <c r="K6" s="51">
        <f>K30-K88</f>
        <v>65144.1138671872</v>
      </c>
      <c r="L6" s="51">
        <f>L30-L88</f>
        <v>66226.66054666095</v>
      </c>
      <c r="M6" s="51">
        <f>M30-M88</f>
        <v>54460.74043432355</v>
      </c>
      <c r="N6" s="51">
        <f>N30-N88</f>
        <v>63461.83812885356</v>
      </c>
      <c r="O6" s="51">
        <f>O30-O88</f>
        <v>65465.24267973931</v>
      </c>
      <c r="P6" s="51">
        <f>P30-P88</f>
        <v>52263.74043432355</v>
      </c>
      <c r="Q6" s="51">
        <f>Q30-Q88</f>
        <v>65144.1138671872</v>
      </c>
      <c r="R6" s="51">
        <f>R30-R88</f>
        <v>66226.66054666095</v>
      </c>
      <c r="S6" s="51">
        <f>S30-S88</f>
        <v>54460.74043432355</v>
      </c>
      <c r="T6" s="51">
        <f>T30-T88</f>
        <v>63461.83812885356</v>
      </c>
      <c r="U6" s="51">
        <f>U30-U88</f>
        <v>65465.24267973931</v>
      </c>
      <c r="V6" s="51">
        <f>V30-V88</f>
        <v>52263.74043432355</v>
      </c>
      <c r="W6" s="51">
        <f>W30-W88</f>
        <v>65144.1138671872</v>
      </c>
      <c r="X6" s="51">
        <f>X30-X88</f>
        <v>66226.66054666095</v>
      </c>
      <c r="Y6" s="51">
        <f>Y30-Y88</f>
        <v>54460.74043432355</v>
      </c>
      <c r="Z6" s="51">
        <f>SUMIF($B$13:$Y$13,"Yes",B6:Y6)</f>
        <v>1468089.344364353</v>
      </c>
      <c r="AA6" s="51">
        <f>AA30-AA88</f>
        <v>734044.6721821758</v>
      </c>
      <c r="AB6" s="51">
        <f>AB30-AB88</f>
        <v>1468089.344364352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86679</v>
      </c>
      <c r="I7" s="80">
        <f>IF(ISERROR(VLOOKUP(MONTH(I5),Inputs!$D$66:$D$71,1,0)),"",INDEX(Inputs!$B$66:$B$71,MATCH(MONTH(Output!I5),Inputs!$D$66:$D$71,0))-INDEX(Inputs!$C$66:$C$71,MATCH(MONTH(Output!I5),Inputs!$D$66:$D$71,0)))</f>
        <v>42853</v>
      </c>
      <c r="J7" s="80">
        <f>IF(ISERROR(VLOOKUP(MONTH(J5),Inputs!$D$66:$D$71,1,0)),"",INDEX(Inputs!$B$66:$B$71,MATCH(MONTH(Output!J5),Inputs!$D$66:$D$71,0))-INDEX(Inputs!$C$66:$C$71,MATCH(MONTH(Output!J5),Inputs!$D$66:$D$71,0)))</f>
        <v>5720</v>
      </c>
      <c r="K7" s="80">
        <f>IF(ISERROR(VLOOKUP(MONTH(K5),Inputs!$D$66:$D$71,1,0)),"",INDEX(Inputs!$B$66:$B$71,MATCH(MONTH(Output!K5),Inputs!$D$66:$D$71,0))-INDEX(Inputs!$C$66:$C$71,MATCH(MONTH(Output!K5),Inputs!$D$66:$D$71,0)))</f>
        <v>24049</v>
      </c>
      <c r="L7" s="80">
        <f>IF(ISERROR(VLOOKUP(MONTH(L5),Inputs!$D$66:$D$71,1,0)),"",INDEX(Inputs!$B$66:$B$71,MATCH(MONTH(Output!L5),Inputs!$D$66:$D$71,0))-INDEX(Inputs!$C$66:$C$71,MATCH(MONTH(Output!L5),Inputs!$D$66:$D$71,0)))</f>
        <v>29174</v>
      </c>
      <c r="M7" s="80">
        <f>IF(ISERROR(VLOOKUP(MONTH(M5),Inputs!$D$66:$D$71,1,0)),"",INDEX(Inputs!$B$66:$B$71,MATCH(MONTH(Output!M5),Inputs!$D$66:$D$71,0))-INDEX(Inputs!$C$66:$C$71,MATCH(MONTH(Output!M5),Inputs!$D$66:$D$71,0)))</f>
        <v>-287535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86679</v>
      </c>
      <c r="U7" s="80">
        <f>IF(ISERROR(VLOOKUP(MONTH(U5),Inputs!$D$66:$D$71,1,0)),"",INDEX(Inputs!$B$66:$B$71,MATCH(MONTH(Output!U5),Inputs!$D$66:$D$71,0))-INDEX(Inputs!$C$66:$C$71,MATCH(MONTH(Output!U5),Inputs!$D$66:$D$71,0)))</f>
        <v>42853</v>
      </c>
      <c r="V7" s="80">
        <f>IF(ISERROR(VLOOKUP(MONTH(V5),Inputs!$D$66:$D$71,1,0)),"",INDEX(Inputs!$B$66:$B$71,MATCH(MONTH(Output!V5),Inputs!$D$66:$D$71,0))-INDEX(Inputs!$C$66:$C$71,MATCH(MONTH(Output!V5),Inputs!$D$66:$D$71,0)))</f>
        <v>5720</v>
      </c>
      <c r="W7" s="80">
        <f>IF(ISERROR(VLOOKUP(MONTH(W5),Inputs!$D$66:$D$71,1,0)),"",INDEX(Inputs!$B$66:$B$71,MATCH(MONTH(Output!W5),Inputs!$D$66:$D$71,0))-INDEX(Inputs!$C$66:$C$71,MATCH(MONTH(Output!W5),Inputs!$D$66:$D$71,0)))</f>
        <v>24049</v>
      </c>
      <c r="X7" s="80">
        <f>IF(ISERROR(VLOOKUP(MONTH(X5),Inputs!$D$66:$D$71,1,0)),"",INDEX(Inputs!$B$66:$B$71,MATCH(MONTH(Output!X5),Inputs!$D$66:$D$71,0))-INDEX(Inputs!$C$66:$C$71,MATCH(MONTH(Output!X5),Inputs!$D$66:$D$71,0)))</f>
        <v>29174</v>
      </c>
      <c r="Y7" s="80">
        <f>IF(ISERROR(VLOOKUP(MONTH(Y5),Inputs!$D$66:$D$71,1,0)),"",INDEX(Inputs!$B$66:$B$71,MATCH(MONTH(Output!Y5),Inputs!$D$66:$D$71,0))-INDEX(Inputs!$C$66:$C$71,MATCH(MONTH(Output!Y5),Inputs!$D$66:$D$71,0)))</f>
        <v>-287535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22000</v>
      </c>
      <c r="E10" s="37">
        <f>SUMPRODUCT((Calculations!$D$33:$D$84=Output!E5)+0,Calculations!$C$33:$C$84)</f>
        <v>22000</v>
      </c>
      <c r="F10" s="37">
        <f>SUMPRODUCT((Calculations!$D$33:$D$84=Output!F5)+0,Calculations!$C$33:$C$84)</f>
        <v>22000</v>
      </c>
      <c r="G10" s="37">
        <f>SUMPRODUCT((Calculations!$D$33:$D$84=Output!G5)+0,Calculations!$C$33:$C$84)</f>
        <v>22000</v>
      </c>
      <c r="H10" s="37">
        <f>SUMPRODUCT((Calculations!$D$33:$D$84=Output!H5)+0,Calculations!$C$33:$C$84)</f>
        <v>22000</v>
      </c>
      <c r="I10" s="37">
        <f>SUMPRODUCT((Calculations!$D$33:$D$84=Output!I5)+0,Calculations!$C$33:$C$84)</f>
        <v>22000</v>
      </c>
      <c r="J10" s="37">
        <f>SUMPRODUCT((Calculations!$D$33:$D$84=Output!J5)+0,Calculations!$C$33:$C$84)</f>
        <v>22000</v>
      </c>
      <c r="K10" s="37">
        <f>SUMPRODUCT((Calculations!$D$33:$D$84=Output!K5)+0,Calculations!$C$33:$C$84)</f>
        <v>22000</v>
      </c>
      <c r="L10" s="37">
        <f>SUMPRODUCT((Calculations!$D$33:$D$84=Output!L5)+0,Calculations!$C$33:$C$84)</f>
        <v>22000</v>
      </c>
      <c r="M10" s="37">
        <f>SUMPRODUCT((Calculations!$D$33:$D$84=Output!M5)+0,Calculations!$C$33:$C$84)</f>
        <v>22000</v>
      </c>
      <c r="N10" s="37">
        <f>SUMPRODUCT((Calculations!$D$33:$D$84=Output!N5)+0,Calculations!$C$33:$C$84)</f>
        <v>22000</v>
      </c>
      <c r="O10" s="37">
        <f>SUMPRODUCT((Calculations!$D$33:$D$84=Output!O5)+0,Calculations!$C$33:$C$84)</f>
        <v>22000</v>
      </c>
      <c r="P10" s="37">
        <f>SUMPRODUCT((Calculations!$D$33:$D$84=Output!P5)+0,Calculations!$C$33:$C$84)</f>
        <v>22000</v>
      </c>
      <c r="Q10" s="37">
        <f>SUMPRODUCT((Calculations!$D$33:$D$84=Output!Q5)+0,Calculations!$C$33:$C$84)</f>
        <v>22000</v>
      </c>
      <c r="R10" s="37">
        <f>SUMPRODUCT((Calculations!$D$33:$D$84=Output!R5)+0,Calculations!$C$33:$C$84)</f>
        <v>22000</v>
      </c>
      <c r="S10" s="37">
        <f>SUMPRODUCT((Calculations!$D$33:$D$84=Output!S5)+0,Calculations!$C$33:$C$84)</f>
        <v>22000</v>
      </c>
      <c r="T10" s="37">
        <f>SUMPRODUCT((Calculations!$D$33:$D$84=Output!T5)+0,Calculations!$C$33:$C$84)</f>
        <v>22000</v>
      </c>
      <c r="U10" s="37">
        <f>SUMPRODUCT((Calculations!$D$33:$D$84=Output!U5)+0,Calculations!$C$33:$C$84)</f>
        <v>22000</v>
      </c>
      <c r="V10" s="37">
        <f>SUMPRODUCT((Calculations!$D$33:$D$84=Output!V5)+0,Calculations!$C$33:$C$84)</f>
        <v>22000</v>
      </c>
      <c r="W10" s="37">
        <f>SUMPRODUCT((Calculations!$D$33:$D$84=Output!W5)+0,Calculations!$C$33:$C$84)</f>
        <v>22000</v>
      </c>
      <c r="X10" s="37">
        <f>SUMPRODUCT((Calculations!$D$33:$D$84=Output!X5)+0,Calculations!$C$33:$C$84)</f>
        <v>22000</v>
      </c>
      <c r="Y10" s="37">
        <f>SUMPRODUCT((Calculations!$D$33:$D$84=Output!Y5)+0,Calculations!$C$33:$C$84)</f>
        <v>22000</v>
      </c>
      <c r="Z10" s="37">
        <f>SUMIF($B$13:$Y$13,"Yes",B10:Y10)</f>
        <v>484000</v>
      </c>
      <c r="AA10" s="37">
        <f>SUM(B10:M10)</f>
        <v>220000</v>
      </c>
      <c r="AB10" s="37">
        <f>SUM(B10:Y10)</f>
        <v>484000</v>
      </c>
    </row>
    <row r="11" spans="1:30" customHeight="1" ht="15.75">
      <c r="A11" s="43" t="s">
        <v>31</v>
      </c>
      <c r="B11" s="80">
        <f>B6+B9-B10</f>
        <v>363461.8381288536</v>
      </c>
      <c r="C11" s="80">
        <f>C6+C9-C10</f>
        <v>65465.24267973931</v>
      </c>
      <c r="D11" s="80">
        <f>D6+D9-D10</f>
        <v>30263.74043432355</v>
      </c>
      <c r="E11" s="80">
        <f>E6+E9-E10</f>
        <v>43144.1138671872</v>
      </c>
      <c r="F11" s="80">
        <f>F6+F9-F10</f>
        <v>44226.66054666095</v>
      </c>
      <c r="G11" s="80">
        <f>G6+G9-G10</f>
        <v>32460.74043432355</v>
      </c>
      <c r="H11" s="80">
        <f>H6+H9-H10</f>
        <v>41461.83812885356</v>
      </c>
      <c r="I11" s="80">
        <f>I6+I9-I10</f>
        <v>43465.24267973931</v>
      </c>
      <c r="J11" s="80">
        <f>J6+J9-J10</f>
        <v>30263.74043432355</v>
      </c>
      <c r="K11" s="80">
        <f>K6+K9-K10</f>
        <v>43144.1138671872</v>
      </c>
      <c r="L11" s="80">
        <f>L6+L9-L10</f>
        <v>44226.66054666095</v>
      </c>
      <c r="M11" s="80">
        <f>M6+M9-M10</f>
        <v>32460.74043432355</v>
      </c>
      <c r="N11" s="80">
        <f>N6+N9-N10</f>
        <v>41461.83812885356</v>
      </c>
      <c r="O11" s="80">
        <f>O6+O9-O10</f>
        <v>43465.24267973931</v>
      </c>
      <c r="P11" s="80">
        <f>P6+P9-P10</f>
        <v>30263.74043432355</v>
      </c>
      <c r="Q11" s="80">
        <f>Q6+Q9-Q10</f>
        <v>43144.1138671872</v>
      </c>
      <c r="R11" s="80">
        <f>R6+R9-R10</f>
        <v>44226.66054666095</v>
      </c>
      <c r="S11" s="80">
        <f>S6+S9-S10</f>
        <v>32460.74043432355</v>
      </c>
      <c r="T11" s="80">
        <f>T6+T9-T10</f>
        <v>41461.83812885356</v>
      </c>
      <c r="U11" s="80">
        <f>U6+U9-U10</f>
        <v>43465.24267973931</v>
      </c>
      <c r="V11" s="80">
        <f>V6+V9-V10</f>
        <v>30263.74043432355</v>
      </c>
      <c r="W11" s="80">
        <f>W6+W9-W10</f>
        <v>43144.1138671872</v>
      </c>
      <c r="X11" s="80">
        <f>X6+X9-X10</f>
        <v>44226.66054666095</v>
      </c>
      <c r="Y11" s="80">
        <f>Y6+Y9-Y10</f>
        <v>32460.74043432355</v>
      </c>
      <c r="Z11" s="85">
        <f>SUMIF($B$13:$Y$13,"Yes",B11:Y11)</f>
        <v>1284089.344364353</v>
      </c>
      <c r="AA11" s="80">
        <f>SUM(B11:M11)</f>
        <v>814044.6721821764</v>
      </c>
      <c r="AB11" s="46">
        <f>SUM(B11:Y11)</f>
        <v>1284089.344364353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0.04571990783858673</v>
      </c>
      <c r="E12" s="82">
        <f>IF(E13="Yes",IF(SUM($B$10:E10)/(SUM($B$6:E6)+SUM($B$9:E9))&lt;0,999.99,SUM($B$10:E10)/(SUM($B$6:E6)+SUM($B$9:E9))),"")</f>
        <v>0.08053667662883872</v>
      </c>
      <c r="F12" s="82">
        <f>IF(F13="Yes",IF(SUM($B$10:F10)/(SUM($B$6:F6)+SUM($B$9:F9))&lt;0,999.99,SUM($B$10:F10)/(SUM($B$6:F6)+SUM($B$9:F9))),"")</f>
        <v>0.1077442668099971</v>
      </c>
      <c r="G12" s="82">
        <f>IF(G13="Yes",IF(SUM($B$10:G10)/(SUM($B$6:G6)+SUM($B$9:G9))&lt;0,999.99,SUM($B$10:G10)/(SUM($B$6:G6)+SUM($B$9:G9))),"")</f>
        <v>0.1319296150046507</v>
      </c>
      <c r="H12" s="82">
        <f>IF(H13="Yes",IF(SUM($B$10:H10)/(SUM($B$6:H6)+SUM($B$9:H9))&lt;0,999.99,SUM($B$10:H10)/(SUM($B$6:H6)+SUM($B$9:H9))),"")</f>
        <v>0.1505850556139223</v>
      </c>
      <c r="I12" s="82">
        <f>IF(I13="Yes",IF(SUM($B$10:I10)/(SUM($B$6:I6)+SUM($B$9:I9))&lt;0,999.99,SUM($B$10:I10)/(SUM($B$6:I6)+SUM($B$9:I9))),"")</f>
        <v>0.165839684278124</v>
      </c>
      <c r="J12" s="82">
        <f>IF(J13="Yes",IF(SUM($B$10:J10)/(SUM($B$6:J6)+SUM($B$9:J9))&lt;0,999.99,SUM($B$10:J10)/(SUM($B$6:J6)+SUM($B$9:J9))),"")</f>
        <v>0.1815581362638056</v>
      </c>
      <c r="K12" s="82">
        <f>IF(K13="Yes",IF(SUM($B$10:K10)/(SUM($B$6:K6)+SUM($B$9:K9))&lt;0,999.99,SUM($B$10:K10)/(SUM($B$6:K6)+SUM($B$9:K9))),"")</f>
        <v>0.1926956794995846</v>
      </c>
      <c r="L12" s="82">
        <f>IF(L13="Yes",IF(SUM($B$10:L10)/(SUM($B$6:L6)+SUM($B$9:L9))&lt;0,999.99,SUM($B$10:L10)/(SUM($B$6:L6)+SUM($B$9:L9))),"")</f>
        <v>0.2021266310960332</v>
      </c>
      <c r="M12" s="82">
        <f>IF(M13="Yes",IF(SUM($B$10:M10)/(SUM($B$6:M6)+SUM($B$9:M9))&lt;0,999.99,SUM($B$10:M10)/(SUM($B$6:M6)+SUM($B$9:M9))),"")</f>
        <v>0.2127567656586125</v>
      </c>
      <c r="N12" s="82">
        <f>IF(N13="Yes",IF(SUM($B$10:N10)/(SUM($B$6:N6)+SUM($B$9:N9))&lt;0,999.99,SUM($B$10:N10)/(SUM($B$6:N6)+SUM($B$9:N9))),"")</f>
        <v>0.2204998309590145</v>
      </c>
      <c r="O12" s="82">
        <f>IF(O13="Yes",IF(SUM($B$10:O10)/(SUM($B$6:O6)+SUM($B$9:O9))&lt;0,999.99,SUM($B$10:O10)/(SUM($B$6:O6)+SUM($B$9:O9))),"")</f>
        <v>0.2270046536565325</v>
      </c>
      <c r="P12" s="82">
        <f>IF(P13="Yes",IF(SUM($B$10:P10)/(SUM($B$6:P6)+SUM($B$9:P9))&lt;0,999.99,SUM($B$10:P10)/(SUM($B$6:P6)+SUM($B$9:P9))),"")</f>
        <v>0.2353453314582842</v>
      </c>
      <c r="Q12" s="82">
        <f>IF(Q13="Yes",IF(SUM($B$10:Q10)/(SUM($B$6:Q6)+SUM($B$9:Q9))&lt;0,999.99,SUM($B$10:Q10)/(SUM($B$6:Q6)+SUM($B$9:Q9))),"")</f>
        <v>0.2405536594349172</v>
      </c>
      <c r="R12" s="82">
        <f>IF(R13="Yes",IF(SUM($B$10:R10)/(SUM($B$6:R6)+SUM($B$9:R9))&lt;0,999.99,SUM($B$10:R10)/(SUM($B$6:R6)+SUM($B$9:R9))),"")</f>
        <v>0.2450604960643695</v>
      </c>
      <c r="S12" s="82">
        <f>IF(S13="Yes",IF(SUM($B$10:S10)/(SUM($B$6:S6)+SUM($B$9:S9))&lt;0,999.99,SUM($B$10:S10)/(SUM($B$6:S6)+SUM($B$9:S9))),"")</f>
        <v>0.2512370913892406</v>
      </c>
      <c r="T12" s="82">
        <f>IF(T13="Yes",IF(SUM($B$10:T10)/(SUM($B$6:T6)+SUM($B$9:T9))&lt;0,999.99,SUM($B$10:T10)/(SUM($B$6:T6)+SUM($B$9:T9))),"")</f>
        <v>0.2553722317718761</v>
      </c>
      <c r="U12" s="82">
        <f>IF(U13="Yes",IF(SUM($B$10:U10)/(SUM($B$6:U6)+SUM($B$9:U9))&lt;0,999.99,SUM($B$10:U10)/(SUM($B$6:U6)+SUM($B$9:U9))),"")</f>
        <v>0.2588245293402655</v>
      </c>
      <c r="V12" s="82">
        <f>IF(V13="Yes",IF(SUM($B$10:V10)/(SUM($B$6:V6)+SUM($B$9:V9))&lt;0,999.99,SUM($B$10:V10)/(SUM($B$6:V6)+SUM($B$9:V9))),"")</f>
        <v>0.264179448002994</v>
      </c>
      <c r="W12" s="82">
        <f>IF(W13="Yes",IF(SUM($B$10:W10)/(SUM($B$6:W6)+SUM($B$9:W9))&lt;0,999.99,SUM($B$10:W10)/(SUM($B$6:W6)+SUM($B$9:W9))),"")</f>
        <v>0.2670872167944306</v>
      </c>
      <c r="X12" s="82">
        <f>IF(X13="Yes",IF(SUM($B$10:X10)/(SUM($B$6:X6)+SUM($B$9:X9))&lt;0,999.99,SUM($B$10:X10)/(SUM($B$6:X6)+SUM($B$9:X9))),"")</f>
        <v>0.2696033428366281</v>
      </c>
      <c r="Y12" s="82">
        <f>IF(Y13="Yes",IF(SUM($B$10:Y10)/(SUM($B$6:Y6)+SUM($B$9:Y9))&lt;0,999.99,SUM($B$10:Y10)/(SUM($B$6:Y6)+SUM($B$9:Y9))),"")</f>
        <v>0.2737418228002518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6946.820223105226</v>
      </c>
      <c r="C18" s="36">
        <f>O18</f>
        <v>7641.502245415749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6946.820223105226</v>
      </c>
      <c r="I18" s="36">
        <f>U18</f>
        <v>7641.502245415749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6946.820223105226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7641.502245415749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6946.820223105226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7641.502245415749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58353.2898740839</v>
      </c>
      <c r="AA18" s="36">
        <f>SUM(B18:M18)</f>
        <v>29176.64493704195</v>
      </c>
      <c r="AB18" s="36">
        <f>SUM(B18:Y18)</f>
        <v>58353.2898740839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9472.43342694783</v>
      </c>
      <c r="F19" s="36">
        <f>R19</f>
        <v>11366.9201123374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9472.43342694783</v>
      </c>
      <c r="L19" s="36">
        <f>X19</f>
        <v>11366.9201123374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9472.43342694783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11366.9201123374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9472.43342694783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11366.9201123374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83357.4141571409</v>
      </c>
      <c r="AA19" s="36">
        <f>SUM(B19:M19)</f>
        <v>41678.70707857045</v>
      </c>
      <c r="AB19" s="36">
        <f>SUM(B19:Y19)</f>
        <v>83357.4141571409</v>
      </c>
      <c r="AC19" s="43"/>
      <c r="AD19" s="43"/>
    </row>
    <row r="20" spans="1:30">
      <c r="A20" t="str">
        <f>IF(Calculations!A6&lt;&gt;Parameters!$A$18,IF(Calculations!A6=0,"",Calculations!A6),Inputs!B9)</f>
        <v>Bananas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300000</v>
      </c>
      <c r="C29" s="37">
        <f>Inputs!$B$30</f>
        <v>300000</v>
      </c>
      <c r="D29" s="37">
        <f>Inputs!$B$30</f>
        <v>300000</v>
      </c>
      <c r="E29" s="37">
        <f>Inputs!$B$30</f>
        <v>300000</v>
      </c>
      <c r="F29" s="37">
        <f>Inputs!$B$30</f>
        <v>300000</v>
      </c>
      <c r="G29" s="37">
        <f>Inputs!$B$30</f>
        <v>300000</v>
      </c>
      <c r="H29" s="37">
        <f>Inputs!$B$30</f>
        <v>300000</v>
      </c>
      <c r="I29" s="37">
        <f>Inputs!$B$30</f>
        <v>300000</v>
      </c>
      <c r="J29" s="37">
        <f>Inputs!$B$30</f>
        <v>300000</v>
      </c>
      <c r="K29" s="37">
        <f>Inputs!$B$30</f>
        <v>300000</v>
      </c>
      <c r="L29" s="37">
        <f>Inputs!$B$30</f>
        <v>300000</v>
      </c>
      <c r="M29" s="37">
        <f>Inputs!$B$30</f>
        <v>300000</v>
      </c>
      <c r="N29" s="37">
        <f>Inputs!$B$30</f>
        <v>300000</v>
      </c>
      <c r="O29" s="37">
        <f>Inputs!$B$30</f>
        <v>300000</v>
      </c>
      <c r="P29" s="37">
        <f>Inputs!$B$30</f>
        <v>300000</v>
      </c>
      <c r="Q29" s="37">
        <f>Inputs!$B$30</f>
        <v>300000</v>
      </c>
      <c r="R29" s="37">
        <f>Inputs!$B$30</f>
        <v>300000</v>
      </c>
      <c r="S29" s="37">
        <f>Inputs!$B$30</f>
        <v>300000</v>
      </c>
      <c r="T29" s="37">
        <f>Inputs!$B$30</f>
        <v>300000</v>
      </c>
      <c r="U29" s="37">
        <f>Inputs!$B$30</f>
        <v>300000</v>
      </c>
      <c r="V29" s="37">
        <f>Inputs!$B$30</f>
        <v>300000</v>
      </c>
      <c r="W29" s="37">
        <f>Inputs!$B$30</f>
        <v>300000</v>
      </c>
      <c r="X29" s="37">
        <f>Inputs!$B$30</f>
        <v>300000</v>
      </c>
      <c r="Y29" s="37">
        <f>Inputs!$B$30</f>
        <v>300000</v>
      </c>
      <c r="Z29" s="37">
        <f>SUMIF($B$13:$Y$13,"Yes",B29:Y29)</f>
        <v>7200000</v>
      </c>
      <c r="AA29" s="37">
        <f>SUM(B29:M29)</f>
        <v>3600000</v>
      </c>
      <c r="AB29" s="37">
        <f>SUM(B29:Y29)</f>
        <v>7200000</v>
      </c>
    </row>
    <row r="30" spans="1:30" customHeight="1" ht="15.75">
      <c r="A30" s="1" t="s">
        <v>37</v>
      </c>
      <c r="B30" s="19">
        <f>SUM(B18:B29)</f>
        <v>306946.8202231052</v>
      </c>
      <c r="C30" s="19">
        <f>SUM(C18:C29)</f>
        <v>307641.5022454158</v>
      </c>
      <c r="D30" s="19">
        <f>SUM(D18:D29)</f>
        <v>300000</v>
      </c>
      <c r="E30" s="19">
        <f>SUM(E18:E29)</f>
        <v>309472.4334269479</v>
      </c>
      <c r="F30" s="19">
        <f>SUM(F18:F29)</f>
        <v>311366.9201123374</v>
      </c>
      <c r="G30" s="19">
        <f>SUM(G18:G29)</f>
        <v>300000</v>
      </c>
      <c r="H30" s="19">
        <f>SUM(H18:H29)</f>
        <v>306946.8202231052</v>
      </c>
      <c r="I30" s="19">
        <f>SUM(I18:I29)</f>
        <v>307641.5022454158</v>
      </c>
      <c r="J30" s="19">
        <f>SUM(J18:J29)</f>
        <v>300000</v>
      </c>
      <c r="K30" s="19">
        <f>SUM(K18:K29)</f>
        <v>309472.4334269479</v>
      </c>
      <c r="L30" s="19">
        <f>SUM(L18:L29)</f>
        <v>311366.9201123374</v>
      </c>
      <c r="M30" s="19">
        <f>SUM(M18:M29)</f>
        <v>300000</v>
      </c>
      <c r="N30" s="19">
        <f>SUM(N18:N29)</f>
        <v>306946.8202231052</v>
      </c>
      <c r="O30" s="19">
        <f>SUM(O18:O29)</f>
        <v>307641.5022454158</v>
      </c>
      <c r="P30" s="19">
        <f>SUM(P18:P29)</f>
        <v>300000</v>
      </c>
      <c r="Q30" s="19">
        <f>SUM(Q18:Q29)</f>
        <v>309472.4334269479</v>
      </c>
      <c r="R30" s="19">
        <f>SUM(R18:R29)</f>
        <v>311366.9201123374</v>
      </c>
      <c r="S30" s="19">
        <f>SUM(S18:S29)</f>
        <v>300000</v>
      </c>
      <c r="T30" s="19">
        <f>SUM(T18:T29)</f>
        <v>306946.8202231052</v>
      </c>
      <c r="U30" s="19">
        <f>SUM(U18:U29)</f>
        <v>307641.5022454158</v>
      </c>
      <c r="V30" s="19">
        <f>SUM(V18:V29)</f>
        <v>300000</v>
      </c>
      <c r="W30" s="19">
        <f>SUM(W18:W29)</f>
        <v>309472.4334269479</v>
      </c>
      <c r="X30" s="19">
        <f>SUM(X18:X29)</f>
        <v>311366.9201123374</v>
      </c>
      <c r="Y30" s="19">
        <f>SUM(Y18:Y29)</f>
        <v>300000</v>
      </c>
      <c r="Z30" s="19">
        <f>SUMIF($B$13:$Y$13,"Yes",B30:Y30)</f>
        <v>7341710.704031225</v>
      </c>
      <c r="AA30" s="19">
        <f>SUM(B30:M30)</f>
        <v>3670855.352015613</v>
      </c>
      <c r="AB30" s="19">
        <f>SUM(B30:Y30)</f>
        <v>7341710.704031225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2000</v>
      </c>
      <c r="E36" s="36">
        <f>Q36</f>
        <v>0</v>
      </c>
      <c r="F36" s="36">
        <f>R36</f>
        <v>0</v>
      </c>
      <c r="G36" s="36">
        <f>S36</f>
        <v>2000</v>
      </c>
      <c r="H36" s="36">
        <f>T36</f>
        <v>0</v>
      </c>
      <c r="I36" s="36">
        <f>U36</f>
        <v>0</v>
      </c>
      <c r="J36" s="36">
        <f>V36</f>
        <v>2000</v>
      </c>
      <c r="K36" s="36">
        <f>W36</f>
        <v>0</v>
      </c>
      <c r="L36" s="36">
        <f>X36</f>
        <v>0</v>
      </c>
      <c r="M36" s="36">
        <f>Y36</f>
        <v>2000</v>
      </c>
      <c r="N36" s="36">
        <f>SUM(N37:N41)</f>
        <v>0</v>
      </c>
      <c r="O36" s="36">
        <f>SUM(O37:O41)</f>
        <v>0</v>
      </c>
      <c r="P36" s="36">
        <f>SUM(P37:P41)</f>
        <v>2000</v>
      </c>
      <c r="Q36" s="36">
        <f>SUM(Q37:Q41)</f>
        <v>0</v>
      </c>
      <c r="R36" s="36">
        <f>SUM(R37:R41)</f>
        <v>0</v>
      </c>
      <c r="S36" s="36">
        <f>SUM(S37:S41)</f>
        <v>2000</v>
      </c>
      <c r="T36" s="36">
        <f>SUM(T37:T41)</f>
        <v>0</v>
      </c>
      <c r="U36" s="36">
        <f>SUM(U37:U41)</f>
        <v>0</v>
      </c>
      <c r="V36" s="36">
        <f>SUM(V37:V41)</f>
        <v>2000</v>
      </c>
      <c r="W36" s="36">
        <f>SUM(W37:W41)</f>
        <v>0</v>
      </c>
      <c r="X36" s="36">
        <f>SUM(X37:X41)</f>
        <v>0</v>
      </c>
      <c r="Y36" s="36">
        <f>SUM(Y37:Y41)</f>
        <v>2000</v>
      </c>
      <c r="Z36" s="36">
        <f>SUMIF($B$13:$Y$13,"Yes",B36:Y36)</f>
        <v>16000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2000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2000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2000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2000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2000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2000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2000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2000</v>
      </c>
      <c r="Z38" s="36">
        <f>SUMIF($B$13:$Y$13,"Yes",B38:Y38)</f>
        <v>8000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Bananas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2500</v>
      </c>
      <c r="E42" s="36">
        <f>Q42</f>
        <v>0</v>
      </c>
      <c r="F42" s="36">
        <f>R42</f>
        <v>0</v>
      </c>
      <c r="G42" s="36">
        <f>S42</f>
        <v>303.0000000000001</v>
      </c>
      <c r="H42" s="36">
        <f>T42</f>
        <v>0</v>
      </c>
      <c r="I42" s="36">
        <f>U42</f>
        <v>0</v>
      </c>
      <c r="J42" s="36">
        <f>V42</f>
        <v>2500</v>
      </c>
      <c r="K42" s="36">
        <f>W42</f>
        <v>0</v>
      </c>
      <c r="L42" s="36">
        <f>X42</f>
        <v>0</v>
      </c>
      <c r="M42" s="36">
        <f>Y42</f>
        <v>303.0000000000001</v>
      </c>
      <c r="N42" s="36">
        <f>SUM(N43:N47)</f>
        <v>0</v>
      </c>
      <c r="O42" s="36">
        <f>SUM(O43:O47)</f>
        <v>0</v>
      </c>
      <c r="P42" s="36">
        <f>SUM(P43:P47)</f>
        <v>2500</v>
      </c>
      <c r="Q42" s="36">
        <f>SUM(Q43:Q47)</f>
        <v>0</v>
      </c>
      <c r="R42" s="36">
        <f>SUM(R43:R47)</f>
        <v>0</v>
      </c>
      <c r="S42" s="36">
        <f>SUM(S43:S47)</f>
        <v>303.0000000000001</v>
      </c>
      <c r="T42" s="36">
        <f>SUM(T43:T47)</f>
        <v>0</v>
      </c>
      <c r="U42" s="36">
        <f>SUM(U43:U47)</f>
        <v>0</v>
      </c>
      <c r="V42" s="36">
        <f>SUM(V43:V47)</f>
        <v>2500</v>
      </c>
      <c r="W42" s="36">
        <f>SUM(W43:W47)</f>
        <v>0</v>
      </c>
      <c r="X42" s="36">
        <f>SUM(X43:X47)</f>
        <v>0</v>
      </c>
      <c r="Y42" s="36">
        <f>SUM(Y43:Y47)</f>
        <v>303.0000000000001</v>
      </c>
      <c r="Z42" s="36">
        <f>SUMIF($B$13:$Y$13,"Yes",B42:Y42)</f>
        <v>11212</v>
      </c>
      <c r="AA42" s="36">
        <f>SUM(B42:M42)</f>
        <v>5606</v>
      </c>
      <c r="AB42" s="36">
        <f>SUM(B42:Y42)</f>
        <v>11212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0</v>
      </c>
      <c r="D43" s="36">
        <f>P43</f>
        <v>2500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2500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2500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2500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10000</v>
      </c>
      <c r="AA43" s="36">
        <f>SUM(B43:M43)</f>
        <v>5000</v>
      </c>
      <c r="AB43" s="36">
        <f>SUM(B43:Y43)</f>
        <v>10000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303.0000000000001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303.0000000000001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303.0000000000001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303.0000000000001</v>
      </c>
      <c r="Z44" s="36">
        <f>SUMIF($B$13:$Y$13,"Yes",B44:Y44)</f>
        <v>1212</v>
      </c>
      <c r="AA44" s="36">
        <f>SUM(B44:M44)</f>
        <v>606.0000000000001</v>
      </c>
      <c r="AB44" s="36">
        <f>SUM(B44:Y44)</f>
        <v>1212</v>
      </c>
    </row>
    <row r="45" spans="1:30" hidden="true" outlineLevel="1">
      <c r="A45" s="181" t="str">
        <f>Calculations!$A$6</f>
        <v>Bananas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300</v>
      </c>
      <c r="D48" s="36">
        <f>P48</f>
        <v>0</v>
      </c>
      <c r="E48" s="36">
        <f>Q48</f>
        <v>0</v>
      </c>
      <c r="F48" s="36">
        <f>R48</f>
        <v>3000</v>
      </c>
      <c r="G48" s="36">
        <f>S48</f>
        <v>0</v>
      </c>
      <c r="H48" s="36">
        <f>T48</f>
        <v>0</v>
      </c>
      <c r="I48" s="36">
        <f>U48</f>
        <v>300</v>
      </c>
      <c r="J48" s="36">
        <f>V48</f>
        <v>0</v>
      </c>
      <c r="K48" s="36">
        <f>W48</f>
        <v>0</v>
      </c>
      <c r="L48" s="36">
        <f>X48</f>
        <v>3000</v>
      </c>
      <c r="M48" s="36">
        <f>Y48</f>
        <v>0</v>
      </c>
      <c r="N48" s="46">
        <f>SUM(N49:N53)</f>
        <v>0</v>
      </c>
      <c r="O48" s="46">
        <f>SUM(O49:O53)</f>
        <v>300</v>
      </c>
      <c r="P48" s="46">
        <f>SUM(P49:P53)</f>
        <v>0</v>
      </c>
      <c r="Q48" s="46">
        <f>SUM(Q49:Q53)</f>
        <v>0</v>
      </c>
      <c r="R48" s="46">
        <f>SUM(R49:R53)</f>
        <v>3000</v>
      </c>
      <c r="S48" s="46">
        <f>SUM(S49:S53)</f>
        <v>0</v>
      </c>
      <c r="T48" s="46">
        <f>SUM(T49:T53)</f>
        <v>0</v>
      </c>
      <c r="U48" s="46">
        <f>SUM(U49:U53)</f>
        <v>300</v>
      </c>
      <c r="V48" s="46">
        <f>SUM(V49:V53)</f>
        <v>0</v>
      </c>
      <c r="W48" s="46">
        <f>SUM(W49:W53)</f>
        <v>0</v>
      </c>
      <c r="X48" s="46">
        <f>SUM(X49:X53)</f>
        <v>3000</v>
      </c>
      <c r="Y48" s="46">
        <f>SUM(Y49:Y53)</f>
        <v>0</v>
      </c>
      <c r="Z48" s="46">
        <f>SUMIF($B$13:$Y$13,"Yes",B48:Y48)</f>
        <v>13200</v>
      </c>
      <c r="AA48" s="46">
        <f>SUM(B48:M48)</f>
        <v>6600</v>
      </c>
      <c r="AB48" s="46">
        <f>SUM(B48:Y48)</f>
        <v>13200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3000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3000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3000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3000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12000</v>
      </c>
      <c r="AA49" s="46">
        <f>SUM(B49:M49)</f>
        <v>6000</v>
      </c>
      <c r="AB49" s="46">
        <f>SUM(B49:Y49)</f>
        <v>12000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300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300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300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300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</v>
      </c>
      <c r="AA50" s="46">
        <f>SUM(B50:M50)</f>
        <v>600</v>
      </c>
      <c r="AB50" s="46">
        <f>SUM(B50:Y50)</f>
        <v>1200</v>
      </c>
    </row>
    <row r="51" spans="1:30" hidden="true" outlineLevel="1">
      <c r="A51" s="181" t="str">
        <f>Calculations!$A$6</f>
        <v>Bananas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248.7225285751961</v>
      </c>
      <c r="C54" s="36">
        <f>O54</f>
        <v>0</v>
      </c>
      <c r="D54" s="36">
        <f>P54</f>
        <v>0</v>
      </c>
      <c r="E54" s="36">
        <f>Q54</f>
        <v>1092.059994084211</v>
      </c>
      <c r="F54" s="36">
        <f>R54</f>
        <v>0</v>
      </c>
      <c r="G54" s="36">
        <f>S54</f>
        <v>0</v>
      </c>
      <c r="H54" s="36">
        <f>T54</f>
        <v>248.7225285751961</v>
      </c>
      <c r="I54" s="36">
        <f>U54</f>
        <v>0</v>
      </c>
      <c r="J54" s="36">
        <f>V54</f>
        <v>0</v>
      </c>
      <c r="K54" s="36">
        <f>W54</f>
        <v>1092.059994084211</v>
      </c>
      <c r="L54" s="36">
        <f>X54</f>
        <v>0</v>
      </c>
      <c r="M54" s="36">
        <f>Y54</f>
        <v>0</v>
      </c>
      <c r="N54" s="46">
        <f>SUM(N55:N59)</f>
        <v>248.7225285751961</v>
      </c>
      <c r="O54" s="46">
        <f>SUM(O55:O59)</f>
        <v>0</v>
      </c>
      <c r="P54" s="46">
        <f>SUM(P55:P59)</f>
        <v>0</v>
      </c>
      <c r="Q54" s="46">
        <f>SUM(Q55:Q59)</f>
        <v>1092.059994084211</v>
      </c>
      <c r="R54" s="46">
        <f>SUM(R55:R59)</f>
        <v>0</v>
      </c>
      <c r="S54" s="46">
        <f>SUM(S55:S59)</f>
        <v>0</v>
      </c>
      <c r="T54" s="46">
        <f>SUM(T55:T59)</f>
        <v>248.7225285751961</v>
      </c>
      <c r="U54" s="46">
        <f>SUM(U55:U59)</f>
        <v>0</v>
      </c>
      <c r="V54" s="46">
        <f>SUM(V55:V59)</f>
        <v>0</v>
      </c>
      <c r="W54" s="46">
        <f>SUM(W55:W59)</f>
        <v>1092.059994084211</v>
      </c>
      <c r="X54" s="46">
        <f>SUM(X55:X59)</f>
        <v>0</v>
      </c>
      <c r="Y54" s="46">
        <f>SUM(Y55:Y59)</f>
        <v>0</v>
      </c>
      <c r="Z54" s="46">
        <f>SUMIF($B$13:$Y$13,"Yes",B54:Y54)</f>
        <v>5363.130090637629</v>
      </c>
      <c r="AA54" s="46">
        <f>SUM(B54:M54)</f>
        <v>2681.565045318814</v>
      </c>
      <c r="AB54" s="46">
        <f>SUM(B54:Y54)</f>
        <v>5363.130090637629</v>
      </c>
    </row>
    <row r="55" spans="1:30" hidden="true" outlineLevel="1">
      <c r="A55" s="181" t="str">
        <f>Calculations!$A$4</f>
        <v>Beans</v>
      </c>
      <c r="B55" s="36">
        <f>N55</f>
        <v>248.7225285751961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248.7225285751961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248.7225285751961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248.7225285751961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994.8901143007844</v>
      </c>
      <c r="AA55" s="46">
        <f>SUM(B55:M55)</f>
        <v>497.4450571503922</v>
      </c>
      <c r="AB55" s="46">
        <f>SUM(B55:Y55)</f>
        <v>994.8901143007844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1092.059994084211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1092.059994084211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1092.059994084211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1092.059994084211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4368.239976336844</v>
      </c>
      <c r="AA56" s="46">
        <f>SUM(B56:M56)</f>
        <v>2184.119988168422</v>
      </c>
      <c r="AB56" s="46">
        <f>SUM(B56:Y56)</f>
        <v>4368.239976336844</v>
      </c>
    </row>
    <row r="57" spans="1:30" hidden="true" outlineLevel="1">
      <c r="A57" s="181" t="str">
        <f>Calculations!$A$6</f>
        <v>Bananas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2200</v>
      </c>
      <c r="C60" s="36">
        <f>O60</f>
        <v>1000</v>
      </c>
      <c r="D60" s="36">
        <f>P60</f>
        <v>2200</v>
      </c>
      <c r="E60" s="36">
        <f>Q60</f>
        <v>2200</v>
      </c>
      <c r="F60" s="36">
        <f>R60</f>
        <v>1200</v>
      </c>
      <c r="G60" s="36">
        <f>S60</f>
        <v>2200</v>
      </c>
      <c r="H60" s="36">
        <f>T60</f>
        <v>2200</v>
      </c>
      <c r="I60" s="36">
        <f>U60</f>
        <v>1000</v>
      </c>
      <c r="J60" s="36">
        <f>V60</f>
        <v>2200</v>
      </c>
      <c r="K60" s="36">
        <f>W60</f>
        <v>2200</v>
      </c>
      <c r="L60" s="36">
        <f>X60</f>
        <v>1200</v>
      </c>
      <c r="M60" s="36">
        <f>Y60</f>
        <v>2200</v>
      </c>
      <c r="N60" s="46">
        <f>SUM(N61:N65)</f>
        <v>2200</v>
      </c>
      <c r="O60" s="46">
        <f>SUM(O61:O65)</f>
        <v>1000</v>
      </c>
      <c r="P60" s="46">
        <f>SUM(P61:P65)</f>
        <v>2200</v>
      </c>
      <c r="Q60" s="46">
        <f>SUM(Q61:Q65)</f>
        <v>2200</v>
      </c>
      <c r="R60" s="46">
        <f>SUM(R61:R65)</f>
        <v>1200</v>
      </c>
      <c r="S60" s="46">
        <f>SUM(S61:S65)</f>
        <v>2200</v>
      </c>
      <c r="T60" s="46">
        <f>SUM(T61:T65)</f>
        <v>2200</v>
      </c>
      <c r="U60" s="46">
        <f>SUM(U61:U65)</f>
        <v>1000</v>
      </c>
      <c r="V60" s="46">
        <f>SUM(V61:V65)</f>
        <v>2200</v>
      </c>
      <c r="W60" s="46">
        <f>SUM(W61:W65)</f>
        <v>2200</v>
      </c>
      <c r="X60" s="46">
        <f>SUM(X61:X65)</f>
        <v>1200</v>
      </c>
      <c r="Y60" s="46">
        <f>SUM(Y61:Y65)</f>
        <v>2200</v>
      </c>
      <c r="Z60" s="46">
        <f>SUMIF($B$13:$Y$13,"Yes",B60:Y60)</f>
        <v>44000</v>
      </c>
      <c r="AA60" s="46">
        <f>SUM(B60:M60)</f>
        <v>22000</v>
      </c>
      <c r="AB60" s="46">
        <f>SUM(B60:Y60)</f>
        <v>44000</v>
      </c>
    </row>
    <row r="61" spans="1:30" hidden="true" outlineLevel="1">
      <c r="A61" s="181" t="str">
        <f>Calculations!$A$4</f>
        <v>Beans</v>
      </c>
      <c r="B61" s="36">
        <f>N61</f>
        <v>1200</v>
      </c>
      <c r="C61" s="36">
        <f>O61</f>
        <v>0</v>
      </c>
      <c r="D61" s="36">
        <f>P61</f>
        <v>1200</v>
      </c>
      <c r="E61" s="36">
        <f>Q61</f>
        <v>1200</v>
      </c>
      <c r="F61" s="36">
        <f>R61</f>
        <v>1200</v>
      </c>
      <c r="G61" s="36">
        <f>S61</f>
        <v>1200</v>
      </c>
      <c r="H61" s="36">
        <f>T61</f>
        <v>1200</v>
      </c>
      <c r="I61" s="36">
        <f>U61</f>
        <v>0</v>
      </c>
      <c r="J61" s="36">
        <f>V61</f>
        <v>1200</v>
      </c>
      <c r="K61" s="36">
        <f>W61</f>
        <v>1200</v>
      </c>
      <c r="L61" s="36">
        <f>X61</f>
        <v>1200</v>
      </c>
      <c r="M61" s="36">
        <f>Y61</f>
        <v>1200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1200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1200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1200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1200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1200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1200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1200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1200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1200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1200</v>
      </c>
      <c r="Z61" s="46">
        <f>SUMIF($B$13:$Y$13,"Yes",B61:Y61)</f>
        <v>24000</v>
      </c>
      <c r="AA61" s="46">
        <f>SUM(B61:M61)</f>
        <v>12000</v>
      </c>
      <c r="AB61" s="46">
        <f>SUM(B61:Y61)</f>
        <v>24000</v>
      </c>
    </row>
    <row r="62" spans="1:30" hidden="true" outlineLevel="1">
      <c r="A62" s="181" t="str">
        <f>Calculations!$A$5</f>
        <v>Maize</v>
      </c>
      <c r="B62" s="36">
        <f>N62</f>
        <v>1000</v>
      </c>
      <c r="C62" s="36">
        <f>O62</f>
        <v>1000</v>
      </c>
      <c r="D62" s="36">
        <f>P62</f>
        <v>1000</v>
      </c>
      <c r="E62" s="36">
        <f>Q62</f>
        <v>1000</v>
      </c>
      <c r="F62" s="36">
        <f>R62</f>
        <v>0</v>
      </c>
      <c r="G62" s="36">
        <f>S62</f>
        <v>1000</v>
      </c>
      <c r="H62" s="36">
        <f>T62</f>
        <v>1000</v>
      </c>
      <c r="I62" s="36">
        <f>U62</f>
        <v>1000</v>
      </c>
      <c r="J62" s="36">
        <f>V62</f>
        <v>1000</v>
      </c>
      <c r="K62" s="36">
        <f>W62</f>
        <v>1000</v>
      </c>
      <c r="L62" s="36">
        <f>X62</f>
        <v>0</v>
      </c>
      <c r="M62" s="36">
        <f>Y62</f>
        <v>1000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1000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1000</v>
      </c>
      <c r="Z62" s="46">
        <f>SUMIF($B$13:$Y$13,"Yes",B62:Y62)</f>
        <v>20000</v>
      </c>
      <c r="AA62" s="46">
        <f>SUM(B62:M62)</f>
        <v>10000</v>
      </c>
      <c r="AB62" s="46">
        <f>SUM(B62:Y62)</f>
        <v>20000</v>
      </c>
    </row>
    <row r="63" spans="1:30" hidden="true" outlineLevel="1">
      <c r="A63" s="181" t="str">
        <f>Calculations!$A$6</f>
        <v>Bananas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255.9999999999999</v>
      </c>
      <c r="C66" s="36">
        <f>O66</f>
        <v>95.99999999999996</v>
      </c>
      <c r="D66" s="36">
        <f>P66</f>
        <v>255.9999999999999</v>
      </c>
      <c r="E66" s="36">
        <f>Q66</f>
        <v>255.9999999999999</v>
      </c>
      <c r="F66" s="36">
        <f>R66</f>
        <v>159.9999999999999</v>
      </c>
      <c r="G66" s="36">
        <f>S66</f>
        <v>255.9999999999999</v>
      </c>
      <c r="H66" s="36">
        <f>T66</f>
        <v>255.9999999999999</v>
      </c>
      <c r="I66" s="36">
        <f>U66</f>
        <v>95.99999999999996</v>
      </c>
      <c r="J66" s="36">
        <f>V66</f>
        <v>255.9999999999999</v>
      </c>
      <c r="K66" s="36">
        <f>W66</f>
        <v>255.9999999999999</v>
      </c>
      <c r="L66" s="36">
        <f>X66</f>
        <v>159.9999999999999</v>
      </c>
      <c r="M66" s="36">
        <f>Y66</f>
        <v>255.9999999999999</v>
      </c>
      <c r="N66" s="46">
        <f>SUM(N67:N71)</f>
        <v>255.9999999999999</v>
      </c>
      <c r="O66" s="46">
        <f>SUM(O67:O71)</f>
        <v>95.99999999999996</v>
      </c>
      <c r="P66" s="46">
        <f>SUM(P67:P71)</f>
        <v>255.9999999999999</v>
      </c>
      <c r="Q66" s="46">
        <f>SUM(Q67:Q71)</f>
        <v>255.9999999999999</v>
      </c>
      <c r="R66" s="46">
        <f>SUM(R67:R71)</f>
        <v>159.9999999999999</v>
      </c>
      <c r="S66" s="46">
        <f>SUM(S67:S71)</f>
        <v>255.9999999999999</v>
      </c>
      <c r="T66" s="46">
        <f>SUM(T67:T71)</f>
        <v>255.9999999999999</v>
      </c>
      <c r="U66" s="46">
        <f>SUM(U67:U71)</f>
        <v>95.99999999999996</v>
      </c>
      <c r="V66" s="46">
        <f>SUM(V67:V71)</f>
        <v>255.9999999999999</v>
      </c>
      <c r="W66" s="46">
        <f>SUM(W67:W71)</f>
        <v>255.9999999999999</v>
      </c>
      <c r="X66" s="46">
        <f>SUM(X67:X71)</f>
        <v>159.9999999999999</v>
      </c>
      <c r="Y66" s="46">
        <f>SUM(Y67:Y71)</f>
        <v>255.9999999999999</v>
      </c>
      <c r="Z66" s="46">
        <f>SUMIF($B$13:$Y$13,"Yes",B66:Y66)</f>
        <v>5119.999999999999</v>
      </c>
      <c r="AA66" s="46">
        <f>SUM(B66:M66)</f>
        <v>2560</v>
      </c>
      <c r="AB66" s="46">
        <f>SUM(B66:Y66)</f>
        <v>5119.999999999999</v>
      </c>
    </row>
    <row r="67" spans="1:30" hidden="true" outlineLevel="1">
      <c r="A67" s="181" t="str">
        <f>Calculations!$A$4</f>
        <v>Beans</v>
      </c>
      <c r="B67" s="36">
        <f>N67</f>
        <v>159.9999999999999</v>
      </c>
      <c r="C67" s="36">
        <f>O67</f>
        <v>0</v>
      </c>
      <c r="D67" s="36">
        <f>P67</f>
        <v>159.9999999999999</v>
      </c>
      <c r="E67" s="36">
        <f>Q67</f>
        <v>159.9999999999999</v>
      </c>
      <c r="F67" s="36">
        <f>R67</f>
        <v>159.9999999999999</v>
      </c>
      <c r="G67" s="36">
        <f>S67</f>
        <v>159.9999999999999</v>
      </c>
      <c r="H67" s="36">
        <f>T67</f>
        <v>159.9999999999999</v>
      </c>
      <c r="I67" s="36">
        <f>U67</f>
        <v>0</v>
      </c>
      <c r="J67" s="36">
        <f>V67</f>
        <v>159.9999999999999</v>
      </c>
      <c r="K67" s="36">
        <f>W67</f>
        <v>159.9999999999999</v>
      </c>
      <c r="L67" s="36">
        <f>X67</f>
        <v>159.9999999999999</v>
      </c>
      <c r="M67" s="36">
        <f>Y67</f>
        <v>159.9999999999999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159.9999999999999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159.9999999999999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159.9999999999999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159.9999999999999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159.9999999999999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159.9999999999999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159.9999999999999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159.9999999999999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159.9999999999999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159.9999999999999</v>
      </c>
      <c r="Z67" s="46">
        <f>SUMIF($B$13:$Y$13,"Yes",B67:Y67)</f>
        <v>3199.999999999999</v>
      </c>
      <c r="AA67" s="46">
        <f>SUM(B67:M67)</f>
        <v>1599.999999999999</v>
      </c>
      <c r="AB67" s="46">
        <f>SUM(B67:Y67)</f>
        <v>3199.999999999999</v>
      </c>
    </row>
    <row r="68" spans="1:30" hidden="true" outlineLevel="1">
      <c r="A68" s="181" t="str">
        <f>Calculations!$A$5</f>
        <v>Maize</v>
      </c>
      <c r="B68" s="36">
        <f>N68</f>
        <v>95.99999999999996</v>
      </c>
      <c r="C68" s="36">
        <f>O68</f>
        <v>95.99999999999996</v>
      </c>
      <c r="D68" s="36">
        <f>P68</f>
        <v>95.99999999999996</v>
      </c>
      <c r="E68" s="36">
        <f>Q68</f>
        <v>95.99999999999996</v>
      </c>
      <c r="F68" s="36">
        <f>R68</f>
        <v>0</v>
      </c>
      <c r="G68" s="36">
        <f>S68</f>
        <v>95.99999999999996</v>
      </c>
      <c r="H68" s="36">
        <f>T68</f>
        <v>95.99999999999996</v>
      </c>
      <c r="I68" s="36">
        <f>U68</f>
        <v>95.99999999999996</v>
      </c>
      <c r="J68" s="36">
        <f>V68</f>
        <v>95.99999999999996</v>
      </c>
      <c r="K68" s="36">
        <f>W68</f>
        <v>95.99999999999996</v>
      </c>
      <c r="L68" s="36">
        <f>X68</f>
        <v>0</v>
      </c>
      <c r="M68" s="36">
        <f>Y68</f>
        <v>95.99999999999996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95.99999999999996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95.99999999999996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95.99999999999996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95.99999999999996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95.99999999999996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95.99999999999996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95.99999999999996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95.99999999999996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95.99999999999996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95.99999999999996</v>
      </c>
      <c r="Z68" s="46">
        <f>SUMIF($B$13:$Y$13,"Yes",B68:Y68)</f>
        <v>1920</v>
      </c>
      <c r="AA68" s="46">
        <f>SUM(B68:M68)</f>
        <v>959.9999999999998</v>
      </c>
      <c r="AB68" s="46">
        <f>SUM(B68:Y68)</f>
        <v>1920</v>
      </c>
    </row>
    <row r="69" spans="1:30" hidden="true" outlineLevel="1">
      <c r="A69" s="181" t="str">
        <f>Calculations!$A$6</f>
        <v>Bananas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200000</v>
      </c>
      <c r="C79" s="46">
        <f>Inputs!$B$31</f>
        <v>200000</v>
      </c>
      <c r="D79" s="46">
        <f>Inputs!$B$31</f>
        <v>200000</v>
      </c>
      <c r="E79" s="46">
        <f>Inputs!$B$31</f>
        <v>200000</v>
      </c>
      <c r="F79" s="46">
        <f>Inputs!$B$31</f>
        <v>200000</v>
      </c>
      <c r="G79" s="46">
        <f>Inputs!$B$31</f>
        <v>200000</v>
      </c>
      <c r="H79" s="46">
        <f>Inputs!$B$31</f>
        <v>200000</v>
      </c>
      <c r="I79" s="46">
        <f>Inputs!$B$31</f>
        <v>200000</v>
      </c>
      <c r="J79" s="46">
        <f>Inputs!$B$31</f>
        <v>200000</v>
      </c>
      <c r="K79" s="46">
        <f>Inputs!$B$31</f>
        <v>200000</v>
      </c>
      <c r="L79" s="46">
        <f>Inputs!$B$31</f>
        <v>200000</v>
      </c>
      <c r="M79" s="46">
        <f>Inputs!$B$31</f>
        <v>200000</v>
      </c>
      <c r="N79" s="46">
        <f>Inputs!$B$31</f>
        <v>200000</v>
      </c>
      <c r="O79" s="46">
        <f>Inputs!$B$31</f>
        <v>200000</v>
      </c>
      <c r="P79" s="46">
        <f>Inputs!$B$31</f>
        <v>200000</v>
      </c>
      <c r="Q79" s="46">
        <f>Inputs!$B$31</f>
        <v>200000</v>
      </c>
      <c r="R79" s="46">
        <f>Inputs!$B$31</f>
        <v>200000</v>
      </c>
      <c r="S79" s="46">
        <f>Inputs!$B$31</f>
        <v>200000</v>
      </c>
      <c r="T79" s="46">
        <f>Inputs!$B$31</f>
        <v>200000</v>
      </c>
      <c r="U79" s="46">
        <f>Inputs!$B$31</f>
        <v>200000</v>
      </c>
      <c r="V79" s="46">
        <f>Inputs!$B$31</f>
        <v>200000</v>
      </c>
      <c r="W79" s="46">
        <f>Inputs!$B$31</f>
        <v>200000</v>
      </c>
      <c r="X79" s="46">
        <f>Inputs!$B$31</f>
        <v>200000</v>
      </c>
      <c r="Y79" s="46">
        <f>Inputs!$B$31</f>
        <v>200000</v>
      </c>
      <c r="Z79" s="46">
        <f>SUMIF($B$13:$Y$13,"Yes",B79:Y79)</f>
        <v>4800000</v>
      </c>
      <c r="AA79" s="46">
        <f>SUM(B79:M79)</f>
        <v>2400000</v>
      </c>
      <c r="AB79" s="46">
        <f>SUM(B79:Y79)</f>
        <v>4800000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40780.25956567644</v>
      </c>
      <c r="C81" s="46">
        <f>(SUM($AA$18:$AA$29)-SUM($AA$36,$AA$42,$AA$48,$AA$54,$AA$60,$AA$66,$AA$72:$AA$79))*Parameters!$B$37/12</f>
        <v>40780.25956567644</v>
      </c>
      <c r="D81" s="46">
        <f>(SUM($AA$18:$AA$29)-SUM($AA$36,$AA$42,$AA$48,$AA$54,$AA$60,$AA$66,$AA$72:$AA$79))*Parameters!$B$37/12</f>
        <v>40780.25956567644</v>
      </c>
      <c r="E81" s="46">
        <f>(SUM($AA$18:$AA$29)-SUM($AA$36,$AA$42,$AA$48,$AA$54,$AA$60,$AA$66,$AA$72:$AA$79))*Parameters!$B$37/12</f>
        <v>40780.25956567644</v>
      </c>
      <c r="F81" s="46">
        <f>(SUM($AA$18:$AA$29)-SUM($AA$36,$AA$42,$AA$48,$AA$54,$AA$60,$AA$66,$AA$72:$AA$79))*Parameters!$B$37/12</f>
        <v>40780.25956567644</v>
      </c>
      <c r="G81" s="46">
        <f>(SUM($AA$18:$AA$29)-SUM($AA$36,$AA$42,$AA$48,$AA$54,$AA$60,$AA$66,$AA$72:$AA$79))*Parameters!$B$37/12</f>
        <v>40780.25956567644</v>
      </c>
      <c r="H81" s="46">
        <f>(SUM($AA$18:$AA$29)-SUM($AA$36,$AA$42,$AA$48,$AA$54,$AA$60,$AA$66,$AA$72:$AA$79))*Parameters!$B$37/12</f>
        <v>40780.25956567644</v>
      </c>
      <c r="I81" s="46">
        <f>(SUM($AA$18:$AA$29)-SUM($AA$36,$AA$42,$AA$48,$AA$54,$AA$60,$AA$66,$AA$72:$AA$79))*Parameters!$B$37/12</f>
        <v>40780.25956567644</v>
      </c>
      <c r="J81" s="46">
        <f>(SUM($AA$18:$AA$29)-SUM($AA$36,$AA$42,$AA$48,$AA$54,$AA$60,$AA$66,$AA$72:$AA$79))*Parameters!$B$37/12</f>
        <v>40780.25956567644</v>
      </c>
      <c r="K81" s="46">
        <f>(SUM($AA$18:$AA$29)-SUM($AA$36,$AA$42,$AA$48,$AA$54,$AA$60,$AA$66,$AA$72:$AA$79))*Parameters!$B$37/12</f>
        <v>40780.25956567644</v>
      </c>
      <c r="L81" s="46">
        <f>(SUM($AA$18:$AA$29)-SUM($AA$36,$AA$42,$AA$48,$AA$54,$AA$60,$AA$66,$AA$72:$AA$79))*Parameters!$B$37/12</f>
        <v>40780.25956567644</v>
      </c>
      <c r="M81" s="46">
        <f>(SUM($AA$18:$AA$29)-SUM($AA$36,$AA$42,$AA$48,$AA$54,$AA$60,$AA$66,$AA$72:$AA$79))*Parameters!$B$37/12</f>
        <v>40780.25956567644</v>
      </c>
      <c r="N81" s="46">
        <f>(SUM($AA$18:$AA$29)-SUM($AA$36,$AA$42,$AA$48,$AA$54,$AA$60,$AA$66,$AA$72:$AA$79))*Parameters!$B$37/12</f>
        <v>40780.25956567644</v>
      </c>
      <c r="O81" s="46">
        <f>(SUM($AA$18:$AA$29)-SUM($AA$36,$AA$42,$AA$48,$AA$54,$AA$60,$AA$66,$AA$72:$AA$79))*Parameters!$B$37/12</f>
        <v>40780.25956567644</v>
      </c>
      <c r="P81" s="46">
        <f>(SUM($AA$18:$AA$29)-SUM($AA$36,$AA$42,$AA$48,$AA$54,$AA$60,$AA$66,$AA$72:$AA$79))*Parameters!$B$37/12</f>
        <v>40780.25956567644</v>
      </c>
      <c r="Q81" s="46">
        <f>(SUM($AA$18:$AA$29)-SUM($AA$36,$AA$42,$AA$48,$AA$54,$AA$60,$AA$66,$AA$72:$AA$79))*Parameters!$B$37/12</f>
        <v>40780.25956567644</v>
      </c>
      <c r="R81" s="46">
        <f>(SUM($AA$18:$AA$29)-SUM($AA$36,$AA$42,$AA$48,$AA$54,$AA$60,$AA$66,$AA$72:$AA$79))*Parameters!$B$37/12</f>
        <v>40780.25956567644</v>
      </c>
      <c r="S81" s="46">
        <f>(SUM($AA$18:$AA$29)-SUM($AA$36,$AA$42,$AA$48,$AA$54,$AA$60,$AA$66,$AA$72:$AA$79))*Parameters!$B$37/12</f>
        <v>40780.25956567644</v>
      </c>
      <c r="T81" s="46">
        <f>(SUM($AA$18:$AA$29)-SUM($AA$36,$AA$42,$AA$48,$AA$54,$AA$60,$AA$66,$AA$72:$AA$79))*Parameters!$B$37/12</f>
        <v>40780.25956567644</v>
      </c>
      <c r="U81" s="46">
        <f>(SUM($AA$18:$AA$29)-SUM($AA$36,$AA$42,$AA$48,$AA$54,$AA$60,$AA$66,$AA$72:$AA$79))*Parameters!$B$37/12</f>
        <v>40780.25956567644</v>
      </c>
      <c r="V81" s="46">
        <f>(SUM($AA$18:$AA$29)-SUM($AA$36,$AA$42,$AA$48,$AA$54,$AA$60,$AA$66,$AA$72:$AA$79))*Parameters!$B$37/12</f>
        <v>40780.25956567644</v>
      </c>
      <c r="W81" s="46">
        <f>(SUM($AA$18:$AA$29)-SUM($AA$36,$AA$42,$AA$48,$AA$54,$AA$60,$AA$66,$AA$72:$AA$79))*Parameters!$B$37/12</f>
        <v>40780.25956567644</v>
      </c>
      <c r="X81" s="46">
        <f>(SUM($AA$18:$AA$29)-SUM($AA$36,$AA$42,$AA$48,$AA$54,$AA$60,$AA$66,$AA$72:$AA$79))*Parameters!$B$37/12</f>
        <v>40780.25956567644</v>
      </c>
      <c r="Y81" s="46">
        <f>(SUM($AA$18:$AA$29)-SUM($AA$36,$AA$42,$AA$48,$AA$54,$AA$60,$AA$66,$AA$72:$AA$79))*Parameters!$B$37/12</f>
        <v>40780.25956567644</v>
      </c>
      <c r="Z81" s="46">
        <f>SUMIF($B$13:$Y$13,"Yes",B81:Y81)</f>
        <v>978726.2295762346</v>
      </c>
      <c r="AA81" s="46">
        <f>SUM(B81:M81)</f>
        <v>489363.1147881173</v>
      </c>
      <c r="AB81" s="46">
        <f>SUM(B81:Y81)</f>
        <v>978726.2295762346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243484.9820942516</v>
      </c>
      <c r="C88" s="19">
        <f>SUM(C72:C82,C66,C60,C54,C48,C42,C36)</f>
        <v>242176.2595656764</v>
      </c>
      <c r="D88" s="19">
        <f>SUM(D72:D82,D66,D60,D54,D48,D42,D36)</f>
        <v>247736.2595656764</v>
      </c>
      <c r="E88" s="19">
        <f>SUM(E72:E82,E66,E60,E54,E48,E42,E36)</f>
        <v>244328.3195597607</v>
      </c>
      <c r="F88" s="19">
        <f>SUM(F72:F82,F66,F60,F54,F48,F42,F36)</f>
        <v>245140.2595656764</v>
      </c>
      <c r="G88" s="19">
        <f>SUM(G72:G82,G66,G60,G54,G48,G42,G36)</f>
        <v>245539.2595656764</v>
      </c>
      <c r="H88" s="19">
        <f>SUM(H72:H82,H66,H60,H54,H48,H42,H36)</f>
        <v>243484.9820942516</v>
      </c>
      <c r="I88" s="19">
        <f>SUM(I72:I82,I66,I60,I54,I48,I42,I36)</f>
        <v>242176.2595656764</v>
      </c>
      <c r="J88" s="19">
        <f>SUM(J72:J82,J66,J60,J54,J48,J42,J36)</f>
        <v>247736.2595656764</v>
      </c>
      <c r="K88" s="19">
        <f>SUM(K72:K82,K66,K60,K54,K48,K42,K36)</f>
        <v>244328.3195597607</v>
      </c>
      <c r="L88" s="19">
        <f>SUM(L72:L82,L66,L60,L54,L48,L42,L36)</f>
        <v>245140.2595656764</v>
      </c>
      <c r="M88" s="19">
        <f>SUM(M72:M82,M66,M60,M54,M48,M42,M36)</f>
        <v>245539.2595656764</v>
      </c>
      <c r="N88" s="19">
        <f>SUM(N72:N82,N66,N60,N54,N48,N42,N36)</f>
        <v>243484.9820942516</v>
      </c>
      <c r="O88" s="19">
        <f>SUM(O72:O82,O66,O60,O54,O48,O42,O36)</f>
        <v>242176.2595656764</v>
      </c>
      <c r="P88" s="19">
        <f>SUM(P72:P82,P66,P60,P54,P48,P42,P36)</f>
        <v>247736.2595656764</v>
      </c>
      <c r="Q88" s="19">
        <f>SUM(Q72:Q82,Q66,Q60,Q54,Q48,Q42,Q36)</f>
        <v>244328.3195597607</v>
      </c>
      <c r="R88" s="19">
        <f>SUM(R72:R82,R66,R60,R54,R48,R42,R36)</f>
        <v>245140.2595656764</v>
      </c>
      <c r="S88" s="19">
        <f>SUM(S72:S82,S66,S60,S54,S48,S42,S36)</f>
        <v>245539.2595656764</v>
      </c>
      <c r="T88" s="19">
        <f>SUM(T72:T82,T66,T60,T54,T48,T42,T36)</f>
        <v>243484.9820942516</v>
      </c>
      <c r="U88" s="19">
        <f>SUM(U72:U82,U66,U60,U54,U48,U42,U36)</f>
        <v>242176.2595656764</v>
      </c>
      <c r="V88" s="19">
        <f>SUM(V72:V82,V66,V60,V54,V48,V42,V36)</f>
        <v>247736.2595656764</v>
      </c>
      <c r="W88" s="19">
        <f>SUM(W72:W82,W66,W60,W54,W48,W42,W36)</f>
        <v>244328.3195597607</v>
      </c>
      <c r="X88" s="19">
        <f>SUM(X72:X82,X66,X60,X54,X48,X42,X36)</f>
        <v>245140.2595656764</v>
      </c>
      <c r="Y88" s="19">
        <f>SUM(Y72:Y82,Y66,Y60,Y54,Y48,Y42,Y36)</f>
        <v>245539.2595656764</v>
      </c>
      <c r="Z88" s="19">
        <f>SUMIF($B$13:$Y$13,"Yes",B88:Y88)</f>
        <v>5873621.359666874</v>
      </c>
      <c r="AA88" s="19">
        <f>SUM(B88:M88)</f>
        <v>2936810.679833437</v>
      </c>
      <c r="AB88" s="19">
        <f>SUM(B88:Y88)</f>
        <v>5873621.359666874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22000000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23050000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115900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415900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1</v>
      </c>
    </row>
    <row r="9" spans="1:48">
      <c r="A9" s="143" t="s">
        <v>97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98</v>
      </c>
      <c r="K9" s="138"/>
      <c r="L9" s="16"/>
      <c r="M9" s="165">
        <v>5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80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300000</v>
      </c>
    </row>
    <row r="31" spans="1:48">
      <c r="A31" s="5" t="s">
        <v>118</v>
      </c>
      <c r="B31" s="158">
        <v>200000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500000</v>
      </c>
    </row>
    <row r="46" spans="1:48" customHeight="1" ht="30">
      <c r="A46" s="57" t="s">
        <v>132</v>
      </c>
      <c r="B46" s="161">
        <v>200000</v>
      </c>
    </row>
    <row r="47" spans="1:48" customHeight="1" ht="30">
      <c r="A47" s="57" t="s">
        <v>133</v>
      </c>
      <c r="B47" s="161">
        <v>300000</v>
      </c>
    </row>
    <row r="48" spans="1:48" customHeight="1" ht="30">
      <c r="A48" s="57" t="s">
        <v>134</v>
      </c>
      <c r="B48" s="161">
        <v>0</v>
      </c>
    </row>
    <row r="49" spans="1:48" customHeight="1" ht="30">
      <c r="A49" s="57" t="s">
        <v>135</v>
      </c>
      <c r="B49" s="161">
        <v>50000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300000</v>
      </c>
      <c r="B56" s="159">
        <v>0</v>
      </c>
      <c r="C56" s="162" t="s">
        <v>144</v>
      </c>
      <c r="D56" s="163" t="s">
        <v>145</v>
      </c>
      <c r="E56" s="163" t="s">
        <v>146</v>
      </c>
      <c r="F56" s="163" t="s">
        <v>147</v>
      </c>
    </row>
    <row r="57" spans="1:48">
      <c r="A57" s="157">
        <v>100000</v>
      </c>
      <c r="B57" s="157">
        <v>115900</v>
      </c>
      <c r="C57" s="164" t="s">
        <v>148</v>
      </c>
      <c r="D57" s="165" t="s">
        <v>145</v>
      </c>
      <c r="E57" s="165" t="s">
        <v>92</v>
      </c>
      <c r="F57" s="165" t="s">
        <v>149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151</v>
      </c>
      <c r="C65" s="10" t="s">
        <v>152</v>
      </c>
    </row>
    <row r="66" spans="1:48">
      <c r="A66" s="142" t="s">
        <v>153</v>
      </c>
      <c r="B66" s="159">
        <v>776804</v>
      </c>
      <c r="C66" s="163">
        <v>690125</v>
      </c>
      <c r="D66" s="49">
        <f>INDEX(Parameters!$D$79:$D$90,MATCH(Inputs!A66,Parameters!$C$79:$C$90,0))</f>
        <v>8</v>
      </c>
    </row>
    <row r="67" spans="1:48">
      <c r="A67" s="143" t="s">
        <v>154</v>
      </c>
      <c r="B67" s="157">
        <v>343305</v>
      </c>
      <c r="C67" s="165">
        <v>300452</v>
      </c>
      <c r="D67" s="49">
        <f>INDEX(Parameters!$D$79:$D$90,MATCH(Inputs!A67,Parameters!$C$79:$C$90,0))</f>
        <v>9</v>
      </c>
    </row>
    <row r="68" spans="1:48">
      <c r="A68" s="143" t="s">
        <v>155</v>
      </c>
      <c r="B68" s="157">
        <v>456032</v>
      </c>
      <c r="C68" s="165">
        <v>450312</v>
      </c>
      <c r="D68" s="49">
        <f>INDEX(Parameters!$D$79:$D$90,MATCH(Inputs!A68,Parameters!$C$79:$C$90,0))</f>
        <v>10</v>
      </c>
    </row>
    <row r="69" spans="1:48">
      <c r="A69" s="143" t="s">
        <v>156</v>
      </c>
      <c r="B69" s="157">
        <v>422505</v>
      </c>
      <c r="C69" s="165">
        <v>398456</v>
      </c>
      <c r="D69" s="49">
        <f>INDEX(Parameters!$D$79:$D$90,MATCH(Inputs!A69,Parameters!$C$79:$C$90,0))</f>
        <v>11</v>
      </c>
    </row>
    <row r="70" spans="1:48">
      <c r="A70" s="143" t="s">
        <v>157</v>
      </c>
      <c r="B70" s="157">
        <v>579388</v>
      </c>
      <c r="C70" s="165">
        <v>550214</v>
      </c>
      <c r="D70" s="49">
        <f>INDEX(Parameters!$D$79:$D$90,MATCH(Inputs!A70,Parameters!$C$79:$C$90,0))</f>
        <v>12</v>
      </c>
    </row>
    <row r="71" spans="1:48">
      <c r="A71" s="144" t="s">
        <v>98</v>
      </c>
      <c r="B71" s="158">
        <v>32465</v>
      </c>
      <c r="C71" s="167">
        <v>320000</v>
      </c>
      <c r="D71" s="49">
        <f>INDEX(Parameters!$D$79:$D$90,MATCH(Inputs!A71,Parameters!$C$79:$C$90,0))</f>
        <v>1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6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300000</v>
      </c>
    </row>
    <row r="82" spans="1:48">
      <c r="A82" t="s">
        <v>168</v>
      </c>
      <c r="B82" s="161">
        <v>38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24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596.9340685804706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27787.2808924209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2500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3000</v>
      </c>
      <c r="Z4" s="33">
        <f>IF(Inputs!I7=Parameters!$F$78,H4*INDEX(Parameters!$A$3:$AI$18,MATCH(Calculations!A4,Parameters!$A$3:$A$18,0),MATCH(Parameters!$Q$3,Parameters!$A$3:$AI$3,0)),0)</f>
        <v>6000</v>
      </c>
      <c r="AA4" s="33">
        <f>IFERROR(IF(Inputs!N7&gt;0,INDEX(Parameters!$A$3:$AI$17,MATCH(Calculations!A4,Parameters!$A$3:$A$17,0),MATCH(Parameters!$R$3,Parameters!$A$3:$AI$3,0)),0)*M4/S4,0)</f>
        <v>248.7225285751961</v>
      </c>
      <c r="AB4" s="33">
        <f>H4*IFERROR(INDEX(Parameters!$A$3:$AI$17,MATCH(Calculations!A4,Parameters!$A$3:$A$17,0),MATCH(Parameters!$O$3,Parameters!$A$3:$AI$3,0)),AVERAGE(Parameters!$O$4:$O$17))*(1-Inputs!$B$25/100)</f>
        <v>3999.999999999999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43282</v>
      </c>
      <c r="C5" s="39">
        <f>IFERROR(DATE(YEAR(B5),MONTH(B5)+ROUND(T5/2,0),DAY(B5)),B5)</f>
        <v>43344</v>
      </c>
      <c r="D5" s="39">
        <f>IFERROR(DATE(YEAR(B5),MONTH(B5)+T5,DAY(B5)),"")</f>
        <v>43405</v>
      </c>
      <c r="E5" s="39">
        <f>IFERROR(IF($S5=0,"",IF($S5=2,DATE(YEAR(B5),MONTH(B5)+6,DAY(B5)),IF($S5=1,B5,""))),"")</f>
        <v>43466</v>
      </c>
      <c r="F5" s="39">
        <f>IFERROR(IF($S5=0,"",IF($S5=2,DATE(YEAR(C5),MONTH(C5)+6,DAY(C5)),IF($S5=1,C5,""))),"")</f>
        <v>43525</v>
      </c>
      <c r="G5" s="39">
        <f>IFERROR(IF($S5=0,"",IF($S5=2,DATE(YEAR(D5),MONTH(D5)+6,DAY(D5)),IF($S5=1,D5,""))),"")</f>
        <v>43586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949.6173861601835</v>
      </c>
      <c r="M5" s="30">
        <f>L5*H5</f>
        <v>949.6173861601835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37889.73370779132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303.0000000000001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</v>
      </c>
      <c r="Z5" s="34">
        <f>IF(Inputs!I8=Parameters!$F$78,H5*INDEX(Parameters!$A$3:$AI$18,MATCH(Calculations!A5,Parameters!$A$3:$A$18,0),MATCH(Parameters!$Q$3,Parameters!$A$3:$AI$3,0)),0)</f>
        <v>5000</v>
      </c>
      <c r="AA5" s="34">
        <f>IFERROR(IF(Inputs!N8&gt;0,INDEX(Parameters!$A$3:$AI$17,MATCH(Calculations!A5,Parameters!$A$3:$A$17,0),MATCH(Parameters!$R$3,Parameters!$A$3:$AI$3,0)),0)*M5/S5,0)</f>
        <v>1092.059994084211</v>
      </c>
      <c r="AB5" s="34">
        <f>H5*IFERROR(INDEX(Parameters!$A$3:$AI$17,MATCH(Calculations!A5,Parameters!$A$3:$A$17,0),MATCH(Parameters!$O$3,Parameters!$A$3:$AI$3,0)),AVERAGE(Parameters!$O$4:$O$17))*(1-Inputs!$B$25/100)</f>
        <v>2400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Bananas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43466</v>
      </c>
      <c r="C6" s="39">
        <f>IFERROR(DATE(YEAR(B6),MONTH(B6)+ROUND(T6/2,0),DAY(B6)),B6)</f>
        <v>43466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>
        <f>IFERROR(INDEX(Parameters!$A$3:$V$17,MATCH(Calculations!$A6,Parameters!$A$3:$A$17,0),MATCH(Parameters!$I$3,Parameters!$A$3:$V$3,0)),0)</f>
        <v>2000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12650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0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N/A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0.08333333333333333</v>
      </c>
      <c r="AD6" s="22">
        <f>IF($A6=0,1/12,IFERROR(INDEX(Parameters!$X$2:$AI$17,MATCH(Calculations!$A6,Parameters!$A$2:$A$17,0),MONTH(Calculations!AD$3)),1/12))</f>
        <v>0.08333333333333333</v>
      </c>
      <c r="AE6" s="22">
        <f>IF($A6=0,1/12,IFERROR(INDEX(Parameters!$X$2:$AI$17,MATCH(Calculations!$A6,Parameters!$A$2:$A$17,0),MONTH(Calculations!AE$3)),1/12))</f>
        <v>0.08333333333333333</v>
      </c>
      <c r="AF6" s="22">
        <f>IF($A6=0,1/12,IFERROR(INDEX(Parameters!$X$2:$AI$17,MATCH(Calculations!$A6,Parameters!$A$2:$A$17,0),MONTH(Calculations!AF$3)),1/12))</f>
        <v>0.08333333333333333</v>
      </c>
      <c r="AG6" s="22">
        <f>IF($A6=0,1/12,IFERROR(INDEX(Parameters!$X$2:$AI$17,MATCH(Calculations!$A6,Parameters!$A$2:$A$17,0),MONTH(Calculations!AG$3)),1/12))</f>
        <v>0.08333333333333333</v>
      </c>
      <c r="AH6" s="22">
        <f>IF($A6=0,1/12,IFERROR(INDEX(Parameters!$X$2:$AI$17,MATCH(Calculations!$A6,Parameters!$A$2:$A$17,0),MONTH(Calculations!AH$3)),1/12))</f>
        <v>0.08333333333333333</v>
      </c>
      <c r="AI6" s="22">
        <f>IF($A6=0,1/12,IFERROR(INDEX(Parameters!$X$2:$AI$17,MATCH(Calculations!$A6,Parameters!$A$2:$A$17,0),MONTH(Calculations!AI$3)),1/12))</f>
        <v>0.08333333333333333</v>
      </c>
      <c r="AJ6" s="22">
        <f>IF($A6=0,1/12,IFERROR(INDEX(Parameters!$X$2:$AI$17,MATCH(Calculations!$A6,Parameters!$A$2:$A$17,0),MONTH(Calculations!AJ$3)),1/12))</f>
        <v>0.08333333333333333</v>
      </c>
      <c r="AK6" s="22">
        <f>IF($A6=0,1/12,IFERROR(INDEX(Parameters!$X$2:$AI$17,MATCH(Calculations!$A6,Parameters!$A$2:$A$17,0),MONTH(Calculations!AK$3)),1/12))</f>
        <v>0.08333333333333333</v>
      </c>
      <c r="AL6" s="22">
        <f>IF($A6=0,1/12,IFERROR(INDEX(Parameters!$X$2:$AI$17,MATCH(Calculations!$A6,Parameters!$A$2:$A$17,0),MONTH(Calculations!AL$3)),1/12))</f>
        <v>0.08333333333333333</v>
      </c>
      <c r="AM6" s="22">
        <f>IF($A6=0,1/12,IFERROR(INDEX(Parameters!$X$2:$AI$17,MATCH(Calculations!$A6,Parameters!$A$2:$A$17,0),MONTH(Calculations!AM$3)),1/12))</f>
        <v>0.08333333333333333</v>
      </c>
      <c r="AN6" s="22">
        <f>IF($A6=0,1/12,IFERROR(INDEX(Parameters!$X$2:$AI$17,MATCH(Calculations!$A6,Parameters!$A$2:$A$17,0),MONTH(Calculations!AN$3)),1/12))</f>
        <v>0.08333333333333333</v>
      </c>
      <c r="AO6" s="22">
        <f>IF($A6=0,1/12,IFERROR(INDEX(Parameters!$X$2:$AI$17,MATCH(Calculations!$A6,Parameters!$A$2:$A$17,0),MONTH(Calculations!AO$3)),1/12))</f>
        <v>0.08333333333333333</v>
      </c>
      <c r="AP6" s="22">
        <f>IF($A6=0,1/12,IFERROR(INDEX(Parameters!$X$2:$AI$17,MATCH(Calculations!$A6,Parameters!$A$2:$A$17,0),MONTH(Calculations!AP$3)),1/12))</f>
        <v>0.08333333333333333</v>
      </c>
      <c r="AQ6" s="22">
        <f>IF($A6=0,1/12,IFERROR(INDEX(Parameters!$X$2:$AI$17,MATCH(Calculations!$A6,Parameters!$A$2:$A$17,0),MONTH(Calculations!AQ$3)),1/12))</f>
        <v>0.08333333333333333</v>
      </c>
      <c r="AR6" s="22">
        <f>IF($A6=0,1/12,IFERROR(INDEX(Parameters!$X$2:$AI$17,MATCH(Calculations!$A6,Parameters!$A$2:$A$17,0),MONTH(Calculations!AR$3)),1/12))</f>
        <v>0.08333333333333333</v>
      </c>
      <c r="AS6" s="22">
        <f>IF($A6=0,1/12,IFERROR(INDEX(Parameters!$X$2:$AI$17,MATCH(Calculations!$A6,Parameters!$A$2:$A$17,0),MONTH(Calculations!AS$3)),1/12))</f>
        <v>0.08333333333333333</v>
      </c>
      <c r="AT6" s="22">
        <f>IF($A6=0,1/12,IFERROR(INDEX(Parameters!$X$2:$AI$17,MATCH(Calculations!$A6,Parameters!$A$2:$A$17,0),MONTH(Calculations!AT$3)),1/12))</f>
        <v>0.08333333333333333</v>
      </c>
      <c r="AU6" s="22">
        <f>IF($A6=0,1/12,IFERROR(INDEX(Parameters!$X$2:$AI$17,MATCH(Calculations!$A6,Parameters!$A$2:$A$17,0),MONTH(Calculations!AU$3)),1/12))</f>
        <v>0.08333333333333333</v>
      </c>
      <c r="AV6" s="22">
        <f>IF($A6=0,1/12,IFERROR(INDEX(Parameters!$X$2:$AI$17,MATCH(Calculations!$A6,Parameters!$A$2:$A$17,0),MONTH(Calculations!AV$3)),1/12))</f>
        <v>0.08333333333333333</v>
      </c>
      <c r="AW6" s="22">
        <f>IF($A6=0,1/12,IFERROR(INDEX(Parameters!$X$2:$AI$17,MATCH(Calculations!$A6,Parameters!$A$2:$A$17,0),MONTH(Calculations!AW$3)),1/12))</f>
        <v>0.08333333333333333</v>
      </c>
      <c r="AX6" s="22">
        <f>IF($A6=0,1/12,IFERROR(INDEX(Parameters!$X$2:$AI$17,MATCH(Calculations!$A6,Parameters!$A$2:$A$17,0),MONTH(Calculations!AX$3)),1/12))</f>
        <v>0.08333333333333333</v>
      </c>
      <c r="AY6" s="22">
        <f>IF($A6=0,1/12,IFERROR(INDEX(Parameters!$X$2:$AI$17,MATCH(Calculations!$A6,Parameters!$A$2:$A$17,0),MONTH(Calculations!AY$3)),1/12))</f>
        <v>0.08333333333333333</v>
      </c>
      <c r="AZ6" s="22">
        <f>IF($A6=0,1/12,IFERROR(INDEX(Parameters!$X$2:$AI$17,MATCH(Calculations!$A6,Parameters!$A$2:$A$17,0),MONTH(Calculations!AZ$3)),1/12))</f>
        <v>0.08333333333333333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300000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-5393.939393939394</v>
      </c>
      <c r="C24" s="46">
        <f>IF(Inputs!B57&gt;0,(Inputs!A57-Inputs!B57)/(DATE(YEAR(Inputs!$B$76),MONTH(Inputs!$B$76),DAY(Inputs!$B$76))-DATE(YEAR(Inputs!C57),MONTH(Inputs!C57),DAY(Inputs!C57)))*30,0)</f>
        <v>-7227.272727272727</v>
      </c>
      <c r="D24" s="46">
        <f>IF(Inputs!B57&gt;0,Inputs!A57*0.22/12,0)</f>
        <v>1833.333333333333</v>
      </c>
      <c r="E24" s="46">
        <f>IFERROR(ROUNDUP(Inputs!B57/B24,0),0)</f>
        <v>-22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Kitengela</v>
      </c>
    </row>
    <row r="33" spans="1:52">
      <c r="A33">
        <v>1</v>
      </c>
      <c r="B33" s="128">
        <f>G34</f>
        <v>43193</v>
      </c>
      <c r="C33" s="27">
        <f>IF(B33&lt;&gt;"",IF(COUNT($A$33:A33)&lt;=$G$39,0,$G$41)+IF(COUNT($A$33:A33)&lt;=$G$40,0,$G$42),0)</f>
        <v>22000</v>
      </c>
      <c r="D33" s="170">
        <f>IFERROR(DATE(YEAR(B33),MONTH(B33),1)," ")</f>
        <v>43191</v>
      </c>
      <c r="F33" t="s">
        <v>163</v>
      </c>
      <c r="G33" s="128">
        <f>IF(Inputs!B79="","",DATE(YEAR(Inputs!B79),MONTH(Inputs!B79),DAY(Inputs!B79)))</f>
        <v>43153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43223</v>
      </c>
      <c r="C34" s="27">
        <f>IF(B34&lt;&gt;"",IF(COUNT($A$33:A34)&lt;=$G$39,0,$G$41)+IF(COUNT($A$33:A34)&lt;=$G$40,0,$G$42),0)</f>
        <v>22000</v>
      </c>
      <c r="D34" s="170">
        <f>IFERROR(DATE(YEAR(B34),MONTH(B34),1)," ")</f>
        <v>43221</v>
      </c>
      <c r="F34" t="s">
        <v>165</v>
      </c>
      <c r="G34" s="128">
        <f>IF(Inputs!B80="","",DATE(YEAR(Inputs!B80),MONTH(Inputs!B80),DAY(Inputs!B80)))</f>
        <v>43193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43254</v>
      </c>
      <c r="C35" s="27">
        <f>IF(B35&lt;&gt;"",IF(COUNT($A$33:A35)&lt;=$G$39,0,$G$41)+IF(COUNT($A$33:A35)&lt;=$G$40,0,$G$42),0)</f>
        <v>22000</v>
      </c>
      <c r="D35" s="170">
        <f>IFERROR(DATE(YEAR(B35),MONTH(B35),1)," ")</f>
        <v>43252</v>
      </c>
      <c r="F35" t="s">
        <v>167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43284</v>
      </c>
      <c r="C36" s="27">
        <f>IF(B36&lt;&gt;"",IF(COUNT($A$33:A36)&lt;=$G$39,0,$G$41)+IF(COUNT($A$33:A36)&lt;=$G$40,0,$G$42),0)</f>
        <v>22000</v>
      </c>
      <c r="D36" s="170">
        <f>IFERROR(DATE(YEAR(B36),MONTH(B36),1)," ")</f>
        <v>43282</v>
      </c>
      <c r="F36" t="s">
        <v>168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43315</v>
      </c>
      <c r="C37" s="27">
        <f>IF(B37&lt;&gt;"",IF(COUNT($A$33:A37)&lt;=$G$39,0,$G$41)+IF(COUNT($A$33:A37)&lt;=$G$40,0,$G$42),0)</f>
        <v>22000</v>
      </c>
      <c r="D37" s="170">
        <f>IFERROR(DATE(YEAR(B37),MONTH(B37),1)," ")</f>
        <v>43313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43346</v>
      </c>
      <c r="C38" s="27">
        <f>IF(B38&lt;&gt;"",IF(COUNT($A$33:A38)&lt;=$G$39,0,$G$41)+IF(COUNT($A$33:A38)&lt;=$G$40,0,$G$42),0)</f>
        <v>22000</v>
      </c>
      <c r="D38" s="170">
        <f>IFERROR(DATE(YEAR(B38),MONTH(B38),1)," ")</f>
        <v>43344</v>
      </c>
      <c r="F38" t="s">
        <v>230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43376</v>
      </c>
      <c r="C39" s="27">
        <f>IF(B39&lt;&gt;"",IF(COUNT($A$33:A39)&lt;=$G$39,0,$G$41)+IF(COUNT($A$33:A39)&lt;=$G$40,0,$G$42),0)</f>
        <v>22000</v>
      </c>
      <c r="D39" s="170">
        <f>IFERROR(DATE(YEAR(B39),MONTH(B39),1)," ")</f>
        <v>43374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43407</v>
      </c>
      <c r="C40" s="27">
        <f>IF(B40&lt;&gt;"",IF(COUNT($A$33:A40)&lt;=$G$39,0,$G$41)+IF(COUNT($A$33:A40)&lt;=$G$40,0,$G$42),0)</f>
        <v>22000</v>
      </c>
      <c r="D40" s="170">
        <f>IFERROR(DATE(YEAR(B40),MONTH(B40),1)," ")</f>
        <v>43405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43437</v>
      </c>
      <c r="C41" s="27">
        <f>IF(B41&lt;&gt;"",IF(COUNT($A$33:A41)&lt;=$G$39,0,$G$41)+IF(COUNT($A$33:A41)&lt;=$G$40,0,$G$42),0)</f>
        <v>22000</v>
      </c>
      <c r="D41" s="170">
        <f>IFERROR(DATE(YEAR(B41),MONTH(B41),1)," ")</f>
        <v>43435</v>
      </c>
      <c r="F41" t="s">
        <v>231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43468</v>
      </c>
      <c r="C42" s="27">
        <f>IF(B42&lt;&gt;"",IF(COUNT($A$33:A42)&lt;=$G$39,0,$G$41)+IF(COUNT($A$33:A42)&lt;=$G$40,0,$G$42),0)</f>
        <v>22000</v>
      </c>
      <c r="D42" s="170">
        <f>IFERROR(DATE(YEAR(B42),MONTH(B42),1)," ")</f>
        <v>43466</v>
      </c>
      <c r="F42" t="s">
        <v>232</v>
      </c>
      <c r="G42" s="73">
        <f>IFERROR(G35*G36*IF(G37="Monthly",G38/12,IF(G37="Fortnightly",G38/(365/14),G38/(365/28)))/(G38-G40),"")</f>
        <v>9500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43499</v>
      </c>
      <c r="C43" s="27">
        <f>IF(B43&lt;&gt;"",IF(COUNT($A$33:A43)&lt;=$G$39,0,$G$41)+IF(COUNT($A$33:A43)&lt;=$G$40,0,$G$42),0)</f>
        <v>22000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43527</v>
      </c>
      <c r="C44" s="27">
        <f>IF(B44&lt;&gt;"",IF(COUNT($A$33:A44)&lt;=$G$39,0,$G$41)+IF(COUNT($A$33:A44)&lt;=$G$40,0,$G$42),0)</f>
        <v>22000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43558</v>
      </c>
      <c r="C45" s="27">
        <f>IF(B45&lt;&gt;"",IF(COUNT($A$33:A45)&lt;=$G$39,0,$G$41)+IF(COUNT($A$33:A45)&lt;=$G$40,0,$G$42),0)</f>
        <v>22000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43588</v>
      </c>
      <c r="C46" s="27">
        <f>IF(B46&lt;&gt;"",IF(COUNT($A$33:A46)&lt;=$G$39,0,$G$41)+IF(COUNT($A$33:A46)&lt;=$G$40,0,$G$42),0)</f>
        <v>22000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43619</v>
      </c>
      <c r="C47" s="27">
        <f>IF(B47&lt;&gt;"",IF(COUNT($A$33:A47)&lt;=$G$39,0,$G$41)+IF(COUNT($A$33:A47)&lt;=$G$40,0,$G$42),0)</f>
        <v>22000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43649</v>
      </c>
      <c r="C48" s="27">
        <f>IF(B48&lt;&gt;"",IF(COUNT($A$33:A48)&lt;=$G$39,0,$G$41)+IF(COUNT($A$33:A48)&lt;=$G$40,0,$G$42),0)</f>
        <v>22000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43680</v>
      </c>
      <c r="C49" s="27">
        <f>IF(B49&lt;&gt;"",IF(COUNT($A$33:A49)&lt;=$G$39,0,$G$41)+IF(COUNT($A$33:A49)&lt;=$G$40,0,$G$42),0)</f>
        <v>22000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43711</v>
      </c>
      <c r="C50" s="27">
        <f>IF(B50&lt;&gt;"",IF(COUNT($A$33:A50)&lt;=$G$39,0,$G$41)+IF(COUNT($A$33:A50)&lt;=$G$40,0,$G$42),0)</f>
        <v>22000</v>
      </c>
      <c r="D50" s="170">
        <f>IFERROR(DATE(YEAR(B50),MONTH(B50),1)," ")</f>
        <v>43709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43741</v>
      </c>
      <c r="C51" s="27">
        <f>IF(B51&lt;&gt;"",IF(COUNT($A$33:A51)&lt;=$G$39,0,$G$41)+IF(COUNT($A$33:A51)&lt;=$G$40,0,$G$42),0)</f>
        <v>22000</v>
      </c>
      <c r="D51" s="170">
        <f>IFERROR(DATE(YEAR(B51),MONTH(B51),1)," ")</f>
        <v>43739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43772</v>
      </c>
      <c r="C52" s="27">
        <f>IF(B52&lt;&gt;"",IF(COUNT($A$33:A52)&lt;=$G$39,0,$G$41)+IF(COUNT($A$33:A52)&lt;=$G$40,0,$G$42),0)</f>
        <v>22000</v>
      </c>
      <c r="D52" s="170">
        <f>IFERROR(DATE(YEAR(B52),MONTH(B52),1)," ")</f>
        <v>43770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43802</v>
      </c>
      <c r="C53" s="27">
        <f>IF(B53&lt;&gt;"",IF(COUNT($A$33:A53)&lt;=$G$39,0,$G$41)+IF(COUNT($A$33:A53)&lt;=$G$40,0,$G$42),0)</f>
        <v>22000</v>
      </c>
      <c r="D53" s="170">
        <f>IFERROR(DATE(YEAR(B53),MONTH(B53),1)," ")</f>
        <v>43800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43833</v>
      </c>
      <c r="C54" s="27">
        <f>IF(B54&lt;&gt;"",IF(COUNT($A$33:A54)&lt;=$G$39,0,$G$41)+IF(COUNT($A$33:A54)&lt;=$G$40,0,$G$42),0)</f>
        <v>22000</v>
      </c>
      <c r="D54" s="170">
        <f>IFERROR(DATE(YEAR(B54),MONTH(B54),1)," ")</f>
        <v>43831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43864</v>
      </c>
      <c r="C55" s="27">
        <f>IF(B55&lt;&gt;"",IF(COUNT($A$33:A55)&lt;=$G$39,0,$G$41)+IF(COUNT($A$33:A55)&lt;=$G$40,0,$G$42),0)</f>
        <v>22000</v>
      </c>
      <c r="D55" s="170">
        <f>IFERROR(DATE(YEAR(B55),MONTH(B55),1)," ")</f>
        <v>43862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43893</v>
      </c>
      <c r="C56" s="27">
        <f>IF(B56&lt;&gt;"",IF(COUNT($A$33:A56)&lt;=$G$39,0,$G$41)+IF(COUNT($A$33:A56)&lt;=$G$40,0,$G$42),0)</f>
        <v>22000</v>
      </c>
      <c r="D56" s="170">
        <f>IFERROR(DATE(YEAR(B56),MONTH(B56),1)," ")</f>
        <v>43891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97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205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299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299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299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299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100</v>
      </c>
      <c r="B41" s="191" t="s">
        <v>146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317</v>
      </c>
      <c r="H52" s="12" t="s">
        <v>318</v>
      </c>
      <c r="I52" s="12" t="s">
        <v>129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233</v>
      </c>
      <c r="E53" s="10" t="s">
        <v>192</v>
      </c>
      <c r="F53" s="10" t="s">
        <v>252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146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146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146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146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146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146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146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170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229</v>
      </c>
      <c r="J76" s="11" t="s">
        <v>351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146</v>
      </c>
      <c r="F77" s="12" t="s">
        <v>146</v>
      </c>
      <c r="G77" s="12" t="s">
        <v>353</v>
      </c>
      <c r="H77" s="12" t="s">
        <v>318</v>
      </c>
      <c r="I77" s="12" t="s">
        <v>354</v>
      </c>
      <c r="J77" s="136" t="s">
        <v>355</v>
      </c>
      <c r="K77" s="12" t="s">
        <v>146</v>
      </c>
      <c r="AJ77" s="12"/>
    </row>
    <row r="78" spans="1:36">
      <c r="A78" t="s">
        <v>146</v>
      </c>
      <c r="B78" s="176">
        <v>5</v>
      </c>
      <c r="C78" s="134" t="s">
        <v>356</v>
      </c>
      <c r="D78" s="133"/>
      <c r="E78" s="12" t="s">
        <v>357</v>
      </c>
      <c r="F78" s="12" t="s">
        <v>93</v>
      </c>
      <c r="G78" s="12" t="s">
        <v>358</v>
      </c>
      <c r="H78" s="12" t="s">
        <v>129</v>
      </c>
      <c r="I78" s="12" t="s">
        <v>359</v>
      </c>
      <c r="J78" s="70" t="s">
        <v>360</v>
      </c>
      <c r="K78" s="12" t="s">
        <v>146</v>
      </c>
      <c r="AJ78" s="12"/>
    </row>
    <row r="79" spans="1:36">
      <c r="B79" s="176">
        <v>10</v>
      </c>
      <c r="C79" s="12" t="s">
        <v>98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170</v>
      </c>
      <c r="J79" s="70" t="s">
        <v>364</v>
      </c>
      <c r="K79" s="12" t="s">
        <v>146</v>
      </c>
      <c r="AJ79" s="12"/>
    </row>
    <row r="80" spans="1:36">
      <c r="B80" s="176">
        <v>20</v>
      </c>
      <c r="C80" s="12" t="s">
        <v>365</v>
      </c>
      <c r="D80" s="12">
        <f>D79+1</f>
        <v>2</v>
      </c>
      <c r="E80" s="12" t="s">
        <v>91</v>
      </c>
      <c r="F80" s="12" t="s">
        <v>366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96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157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