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<sst xmlns="http://schemas.openxmlformats.org/spreadsheetml/2006/main" uniqueCount="367">
  <si>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</si>
  <si>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</si>
  <si>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</si>
  <si>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</si>
  <si>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</si>
  <si>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</si>
  <si>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</si>
  <si>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</si>
  <si>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</si>
  <si>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</si>
  <si>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</si>
  <si>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</si>
  <si>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</si>
  <si>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</si>
  <si>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</si>
  <si>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</si>
  <si>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</si>
  <si>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</si>
  <si>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</si>
  <si>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</si>
  <si>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</si>
  <si>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</si>
  <si>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</si>
  <si>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</si>
  <si>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</si>
  <si>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</si>
  <si>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</si>
  <si>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</si>
  <si>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</si>
  <si>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</si>
  <si>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</si>
  <si>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</si>
  <si>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</si>
  <si>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</si>
  <si>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</si>
  <si>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</si>
  <si>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</si>
  <si>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</si>
  <si>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</si>
  <si>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</si>
  <si>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</si>
  <si>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</si>
  <si>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</si>
  <si>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</si>
  <si>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</si>
  <si>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</si>
  <si>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</si>
  <si>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</si>
  <si>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</si>
  <si>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</si>
  <si>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</si>
  <si>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</si>
  <si>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</si>
  <si>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</si>
  <si>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</si>
  <si>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</si>
  <si>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</si>
  <si>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</si>
  <si>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</si>
  <si>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</si>
  <si>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</si>
  <si>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</si>
  <si>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</si>
  <si>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</si>
  <si>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</si>
  <si>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</si>
  <si>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</si>
  <si>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</si>
  <si>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</si>
  <si>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</si>
  <si>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</si>
  <si>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</si>
  <si>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</si>
  <si>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</si>
  <si>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</si>
  <si>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</si>
  <si>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</si>
  <si>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</si>
  <si>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</si>
  <si>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</si>
  <si>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</si>
  <si>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</si>
  <si>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</si>
  <si>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</si>
  <si>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</si>
  <si>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</si>
  <si>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</si>
  <si>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</si>
  <si>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</si>
  <si>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</si>
  <si>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</si>
  <si>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</si>
  <si>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</si>
  <si>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</si>
  <si>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</si>
  <si>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</si>
  <si>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</si>
  <si>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</si>
  <si>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</si>
  <si>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</si>
  <si>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</si>
  <si>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</si>
  <si>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</si>
  <si>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</si>
  <si>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</si>
  <si>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</si>
  <si>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</si>
  <si>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</si>
  <si>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</si>
  <si>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</si>
  <si>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</si>
  <si>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</si>
  <si>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</si>
  <si>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</si>
  <si>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</si>
  <si>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</si>
  <si>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</si>
  <si>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</si>
  <si>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</si>
  <si>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</si>
  <si>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</si>
  <si>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</si>
  <si>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</si>
  <si>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</si>
  <si>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</si>
  <si>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</si>
  <si>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</si>
  <si>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</si>
  <si>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</si>
  <si>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</si>
  <si>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</si>
  <si>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</si>
  <si>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</si>
  <si>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</si>
  <si>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</si>
  <si>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</si>
  <si>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</si>
  <si>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</si>
  <si>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</si>
  <si>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</si>
  <si>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</si>
  <si>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</si>
  <si>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8/12/2016</t>
  </si>
  <si>
    <t>Mshwari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</si>
  <si>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</si>
  <si>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</si>
  <si>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</si>
  <si>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</si>
  <si>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</si>
  <si>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</si>
  <si>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</si>
  <si>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</si>
  <si>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</si>
  <si>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</si>
  <si>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</si>
  <si>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</si>
  <si>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</si>
  <si>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</si>
  <si>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</si>
  <si>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2018/3/30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</si>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</sst>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0.4168084561179146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0.03061224489795918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195566.609996236</v>
      </c>
    </row>
    <row r="18" spans="1:7">
      <c r="B18" s="1" t="s">
        <v>12</v>
      </c>
      <c r="C18" s="36">
        <f>MIN(Output!B6:M6)</f>
        <v>-33167.23083938989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145429.8459264307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1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-5531.230839389893</v>
      </c>
      <c r="C6" s="51">
        <f>C30-C88</f>
        <v>-5531.230839389893</v>
      </c>
      <c r="D6" s="51">
        <f>D30-D88</f>
        <v>-9131.230839389893</v>
      </c>
      <c r="E6" s="51">
        <f>E30-E88</f>
        <v>-5531.230839389893</v>
      </c>
      <c r="F6" s="51">
        <f>F30-F88</f>
        <v>-5531.230839389893</v>
      </c>
      <c r="G6" s="51">
        <f>G30-G88</f>
        <v>49736.50103513279</v>
      </c>
      <c r="H6" s="51">
        <f>H30-H88</f>
        <v>145429.8459264307</v>
      </c>
      <c r="I6" s="51">
        <f>I30-I88</f>
        <v>16205.91201775297</v>
      </c>
      <c r="J6" s="51">
        <f>J30-J88</f>
        <v>16205.91201775297</v>
      </c>
      <c r="K6" s="51">
        <f>K30-K88</f>
        <v>16205.91201775297</v>
      </c>
      <c r="L6" s="51">
        <f>L30-L88</f>
        <v>16205.91201775297</v>
      </c>
      <c r="M6" s="51">
        <f>M30-M88</f>
        <v>-33167.23083938989</v>
      </c>
      <c r="N6" s="51">
        <f>N30-N88</f>
        <v>-5531.230839389893</v>
      </c>
      <c r="O6" s="51">
        <f>O30-O88</f>
        <v>-5531.230839389893</v>
      </c>
      <c r="P6" s="51">
        <f>P30-P88</f>
        <v>-9131.230839389893</v>
      </c>
      <c r="Q6" s="51">
        <f>Q30-Q88</f>
        <v>-5531.230839389893</v>
      </c>
      <c r="R6" s="51">
        <f>R30-R88</f>
        <v>-5531.230839389893</v>
      </c>
      <c r="S6" s="51">
        <f>S30-S88</f>
        <v>49736.50103513279</v>
      </c>
      <c r="T6" s="51">
        <f>T30-T88</f>
        <v>145429.8459264307</v>
      </c>
      <c r="U6" s="51">
        <f>U30-U88</f>
        <v>16205.91201775297</v>
      </c>
      <c r="V6" s="51">
        <f>V30-V88</f>
        <v>16205.91201775297</v>
      </c>
      <c r="W6" s="51">
        <f>W30-W88</f>
        <v>16205.91201775297</v>
      </c>
      <c r="X6" s="51">
        <f>X30-X88</f>
        <v>16205.91201775297</v>
      </c>
      <c r="Y6" s="51">
        <f>Y30-Y88</f>
        <v>-33167.23083938989</v>
      </c>
      <c r="Z6" s="51">
        <f>SUMIF($B$13:$Y$13,"Yes",B6:Y6)</f>
        <v>163910.192764614</v>
      </c>
      <c r="AA6" s="51">
        <f>AA30-AA88</f>
        <v>195566.6099962363</v>
      </c>
      <c r="AB6" s="51">
        <f>AB30-AB88</f>
        <v>391133.2199924733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20337</v>
      </c>
      <c r="I7" s="80">
        <f>IF(ISERROR(VLOOKUP(MONTH(I5),Inputs!$D$66:$D$71,1,0)),"",INDEX(Inputs!$B$66:$B$71,MATCH(MONTH(Output!I5),Inputs!$D$66:$D$71,0))-INDEX(Inputs!$C$66:$C$71,MATCH(MONTH(Output!I5),Inputs!$D$66:$D$71,0)))</f>
        <v>20498</v>
      </c>
      <c r="J7" s="80">
        <f>IF(ISERROR(VLOOKUP(MONTH(J5),Inputs!$D$66:$D$71,1,0)),"",INDEX(Inputs!$B$66:$B$71,MATCH(MONTH(Output!J5),Inputs!$D$66:$D$71,0))-INDEX(Inputs!$C$66:$C$71,MATCH(MONTH(Output!J5),Inputs!$D$66:$D$71,0)))</f>
        <v>28370</v>
      </c>
      <c r="K7" s="80">
        <f>IF(ISERROR(VLOOKUP(MONTH(K5),Inputs!$D$66:$D$71,1,0)),"",INDEX(Inputs!$B$66:$B$71,MATCH(MONTH(Output!K5),Inputs!$D$66:$D$71,0))-INDEX(Inputs!$C$66:$C$71,MATCH(MONTH(Output!K5),Inputs!$D$66:$D$71,0)))</f>
        <v>19555</v>
      </c>
      <c r="L7" s="80">
        <f>IF(ISERROR(VLOOKUP(MONTH(L5),Inputs!$D$66:$D$71,1,0)),"",INDEX(Inputs!$B$66:$B$71,MATCH(MONTH(Output!L5),Inputs!$D$66:$D$71,0))-INDEX(Inputs!$C$66:$C$71,MATCH(MONTH(Output!L5),Inputs!$D$66:$D$71,0)))</f>
        <v>21484</v>
      </c>
      <c r="M7" s="80">
        <f>IF(ISERROR(VLOOKUP(MONTH(M5),Inputs!$D$66:$D$71,1,0)),"",INDEX(Inputs!$B$66:$B$71,MATCH(MONTH(Output!M5),Inputs!$D$66:$D$71,0))-INDEX(Inputs!$C$66:$C$71,MATCH(MONTH(Output!M5),Inputs!$D$66:$D$71,0)))</f>
        <v>48589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20337</v>
      </c>
      <c r="U7" s="80">
        <f>IF(ISERROR(VLOOKUP(MONTH(U5),Inputs!$D$66:$D$71,1,0)),"",INDEX(Inputs!$B$66:$B$71,MATCH(MONTH(Output!U5),Inputs!$D$66:$D$71,0))-INDEX(Inputs!$C$66:$C$71,MATCH(MONTH(Output!U5),Inputs!$D$66:$D$71,0)))</f>
        <v>20498</v>
      </c>
      <c r="V7" s="80">
        <f>IF(ISERROR(VLOOKUP(MONTH(V5),Inputs!$D$66:$D$71,1,0)),"",INDEX(Inputs!$B$66:$B$71,MATCH(MONTH(Output!V5),Inputs!$D$66:$D$71,0))-INDEX(Inputs!$C$66:$C$71,MATCH(MONTH(Output!V5),Inputs!$D$66:$D$71,0)))</f>
        <v>28370</v>
      </c>
      <c r="W7" s="80">
        <f>IF(ISERROR(VLOOKUP(MONTH(W5),Inputs!$D$66:$D$71,1,0)),"",INDEX(Inputs!$B$66:$B$71,MATCH(MONTH(Output!W5),Inputs!$D$66:$D$71,0))-INDEX(Inputs!$C$66:$C$71,MATCH(MONTH(Output!W5),Inputs!$D$66:$D$71,0)))</f>
        <v>19555</v>
      </c>
      <c r="X7" s="80">
        <f>IF(ISERROR(VLOOKUP(MONTH(X5),Inputs!$D$66:$D$71,1,0)),"",INDEX(Inputs!$B$66:$B$71,MATCH(MONTH(Output!X5),Inputs!$D$66:$D$71,0))-INDEX(Inputs!$C$66:$C$71,MATCH(MONTH(Output!X5),Inputs!$D$66:$D$71,0)))</f>
        <v>21484</v>
      </c>
      <c r="Y7" s="80">
        <f>IF(ISERROR(VLOOKUP(MONTH(Y5),Inputs!$D$66:$D$71,1,0)),"",INDEX(Inputs!$B$66:$B$71,MATCH(MONTH(Output!Y5),Inputs!$D$66:$D$71,0))-INDEX(Inputs!$C$66:$C$71,MATCH(MONTH(Output!Y5),Inputs!$D$66:$D$71,0)))</f>
        <v>48589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110000</v>
      </c>
      <c r="AA10" s="37">
        <f>SUM(B10:M10)</f>
        <v>110000</v>
      </c>
      <c r="AB10" s="37">
        <f>SUM(B10:Y10)</f>
        <v>110000</v>
      </c>
    </row>
    <row r="11" spans="1:30" customHeight="1" ht="15.75">
      <c r="A11" s="43" t="s">
        <v>31</v>
      </c>
      <c r="B11" s="80">
        <f>B6+B9-B10</f>
        <v>94468.7691606101</v>
      </c>
      <c r="C11" s="80">
        <f>C6+C9-C10</f>
        <v>-7197.89750605656</v>
      </c>
      <c r="D11" s="80">
        <f>D6+D9-D10</f>
        <v>-10797.89750605656</v>
      </c>
      <c r="E11" s="80">
        <f>E6+E9-E10</f>
        <v>-7197.89750605656</v>
      </c>
      <c r="F11" s="80">
        <f>F6+F9-F10</f>
        <v>-40531.23083938989</v>
      </c>
      <c r="G11" s="80">
        <f>G6+G9-G10</f>
        <v>14736.50103513279</v>
      </c>
      <c r="H11" s="80">
        <f>H6+H9-H10</f>
        <v>110429.8459264307</v>
      </c>
      <c r="I11" s="80">
        <f>I6+I9-I10</f>
        <v>16205.91201775297</v>
      </c>
      <c r="J11" s="80">
        <f>J6+J9-J10</f>
        <v>16205.91201775297</v>
      </c>
      <c r="K11" s="80">
        <f>K6+K9-K10</f>
        <v>16205.91201775297</v>
      </c>
      <c r="L11" s="80">
        <f>L6+L9-L10</f>
        <v>16205.91201775297</v>
      </c>
      <c r="M11" s="80">
        <f>M6+M9-M10</f>
        <v>-33167.23083938989</v>
      </c>
      <c r="N11" s="80">
        <f>N6+N9-N10</f>
        <v>-5531.230839389893</v>
      </c>
      <c r="O11" s="80">
        <f>O6+O9-O10</f>
        <v>-5531.230839389893</v>
      </c>
      <c r="P11" s="80">
        <f>P6+P9-P10</f>
        <v>-9131.230839389893</v>
      </c>
      <c r="Q11" s="80">
        <f>Q6+Q9-Q10</f>
        <v>-5531.230839389893</v>
      </c>
      <c r="R11" s="80">
        <f>R6+R9-R10</f>
        <v>-5531.230839389893</v>
      </c>
      <c r="S11" s="80">
        <f>S6+S9-S10</f>
        <v>49736.50103513279</v>
      </c>
      <c r="T11" s="80">
        <f>T6+T9-T10</f>
        <v>145429.8459264307</v>
      </c>
      <c r="U11" s="80">
        <f>U6+U9-U10</f>
        <v>16205.91201775297</v>
      </c>
      <c r="V11" s="80">
        <f>V6+V9-V10</f>
        <v>16205.91201775297</v>
      </c>
      <c r="W11" s="80">
        <f>W6+W9-W10</f>
        <v>16205.91201775297</v>
      </c>
      <c r="X11" s="80">
        <f>X6+X9-X10</f>
        <v>16205.91201775297</v>
      </c>
      <c r="Y11" s="80">
        <f>Y6+Y9-Y10</f>
        <v>-33167.23083938989</v>
      </c>
      <c r="Z11" s="85">
        <f>SUMIF($B$13:$Y$13,"Yes",B11:Y11)</f>
        <v>153910.192764614</v>
      </c>
      <c r="AA11" s="80">
        <f>SUM(B11:M11)</f>
        <v>185566.609996236</v>
      </c>
      <c r="AB11" s="46">
        <f>SUM(B11:Y11)</f>
        <v>381133.2199924721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0.01873974362374504</v>
      </c>
      <c r="D12" s="82">
        <f>IF(D13="Yes",IF(SUM($B$10:D10)/(SUM($B$6:D6)+SUM($B$9:D9))&lt;0,999.99,SUM($B$10:D10)/(SUM($B$6:D6)+SUM($B$9:D9))),"")</f>
        <v>0.04176779302929459</v>
      </c>
      <c r="E12" s="82">
        <f>IF(E13="Yes",IF(SUM($B$10:E10)/(SUM($B$6:E6)+SUM($B$9:E9))&lt;0,999.99,SUM($B$10:E10)/(SUM($B$6:E6)+SUM($B$9:E9))),"")</f>
        <v>0.06731733208529635</v>
      </c>
      <c r="F12" s="82">
        <f>IF(F13="Yes",IF(SUM($B$10:F10)/(SUM($B$6:F6)+SUM($B$9:F9))&lt;0,999.99,SUM($B$10:F10)/(SUM($B$6:F6)+SUM($B$9:F9))),"")</f>
        <v>0.5818702682797096</v>
      </c>
      <c r="G12" s="82">
        <f>IF(G13="Yes",IF(SUM($B$10:G10)/(SUM($B$6:G6)+SUM($B$9:G9))&lt;0,999.99,SUM($B$10:G10)/(SUM($B$6:G6)+SUM($B$9:G9))),"")</f>
        <v>0.6330163778338074</v>
      </c>
      <c r="H12" s="82">
        <f>IF(H13="Yes",IF(SUM($B$10:H10)/(SUM($B$6:H6)+SUM($B$9:H9))&lt;0,999.99,SUM($B$10:H10)/(SUM($B$6:H6)+SUM($B$9:H9))),"")</f>
        <v>0.4168084561179146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107686.6115905648</v>
      </c>
      <c r="H18" s="36">
        <f>T18</f>
        <v>129223.9339086778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107686.6115905648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129223.9339086778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236910.5454992426</v>
      </c>
      <c r="AA18" s="36">
        <f>SUM(B18:M18)</f>
        <v>236910.5454992426</v>
      </c>
      <c r="AB18" s="36">
        <f>SUM(B18:Y18)</f>
        <v>473821.0909984851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53789.47368421053</v>
      </c>
      <c r="C24" s="36">
        <f>IFERROR(Calculations!$P14/12,"")</f>
        <v>53789.47368421053</v>
      </c>
      <c r="D24" s="36">
        <f>IFERROR(Calculations!$P14/12,"")</f>
        <v>53789.47368421053</v>
      </c>
      <c r="E24" s="36">
        <f>IFERROR(Calculations!$P14/12,"")</f>
        <v>53789.47368421053</v>
      </c>
      <c r="F24" s="36">
        <f>IFERROR(Calculations!$P14/12,"")</f>
        <v>53789.47368421053</v>
      </c>
      <c r="G24" s="36">
        <f>IFERROR(Calculations!$P14/12,"")</f>
        <v>53789.47368421053</v>
      </c>
      <c r="H24" s="36">
        <f>IFERROR(Calculations!$P14/12,"")</f>
        <v>53789.47368421053</v>
      </c>
      <c r="I24" s="36">
        <f>IFERROR(Calculations!$P14/12,"")</f>
        <v>53789.47368421053</v>
      </c>
      <c r="J24" s="36">
        <f>IFERROR(Calculations!$P14/12,"")</f>
        <v>53789.47368421053</v>
      </c>
      <c r="K24" s="36">
        <f>IFERROR(Calculations!$P14/12,"")</f>
        <v>53789.47368421053</v>
      </c>
      <c r="L24" s="36">
        <f>IFERROR(Calculations!$P14/12,"")</f>
        <v>53789.47368421053</v>
      </c>
      <c r="M24" s="36">
        <f>IFERROR(Calculations!$P14/12,"")</f>
        <v>53789.47368421053</v>
      </c>
      <c r="N24" s="36">
        <f>IFERROR(Calculations!$P14/12,"")</f>
        <v>53789.47368421053</v>
      </c>
      <c r="O24" s="36">
        <f>IFERROR(Calculations!$P14/12,"")</f>
        <v>53789.47368421053</v>
      </c>
      <c r="P24" s="36">
        <f>IFERROR(Calculations!$P14/12,"")</f>
        <v>53789.47368421053</v>
      </c>
      <c r="Q24" s="36">
        <f>IFERROR(Calculations!$P14/12,"")</f>
        <v>53789.47368421053</v>
      </c>
      <c r="R24" s="36">
        <f>IFERROR(Calculations!$P14/12,"")</f>
        <v>53789.47368421053</v>
      </c>
      <c r="S24" s="36">
        <f>IFERROR(Calculations!$P14/12,"")</f>
        <v>53789.47368421053</v>
      </c>
      <c r="T24" s="36">
        <f>IFERROR(Calculations!$P14/12,"")</f>
        <v>53789.47368421053</v>
      </c>
      <c r="U24" s="36">
        <f>IFERROR(Calculations!$P14/12,"")</f>
        <v>53789.47368421053</v>
      </c>
      <c r="V24" s="36">
        <f>IFERROR(Calculations!$P14/12,"")</f>
        <v>53789.47368421053</v>
      </c>
      <c r="W24" s="36">
        <f>IFERROR(Calculations!$P14/12,"")</f>
        <v>53789.47368421053</v>
      </c>
      <c r="X24" s="36">
        <f>IFERROR(Calculations!$P14/12,"")</f>
        <v>53789.47368421053</v>
      </c>
      <c r="Y24" s="36">
        <f>IFERROR(Calculations!$P14/12,"")</f>
        <v>53789.47368421053</v>
      </c>
      <c r="Z24" s="36">
        <f>SUMIF($B$13:$Y$13,"Yes",B24:Y24)</f>
        <v>376526.3157894737</v>
      </c>
      <c r="AA24" s="36">
        <f>SUM(B24:M24)</f>
        <v>645473.6842105263</v>
      </c>
      <c r="AB24" s="46">
        <f>SUM(B24:Y24)</f>
        <v>1290947.368421053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53789.47368421053</v>
      </c>
      <c r="C30" s="19">
        <f>SUM(C18:C29)</f>
        <v>53789.47368421053</v>
      </c>
      <c r="D30" s="19">
        <f>SUM(D18:D29)</f>
        <v>53789.47368421053</v>
      </c>
      <c r="E30" s="19">
        <f>SUM(E18:E29)</f>
        <v>53789.47368421053</v>
      </c>
      <c r="F30" s="19">
        <f>SUM(F18:F29)</f>
        <v>53789.47368421053</v>
      </c>
      <c r="G30" s="19">
        <f>SUM(G18:G29)</f>
        <v>161476.0852747753</v>
      </c>
      <c r="H30" s="19">
        <f>SUM(H18:H29)</f>
        <v>183013.4075928883</v>
      </c>
      <c r="I30" s="19">
        <f>SUM(I18:I29)</f>
        <v>53789.47368421053</v>
      </c>
      <c r="J30" s="19">
        <f>SUM(J18:J29)</f>
        <v>53789.47368421053</v>
      </c>
      <c r="K30" s="19">
        <f>SUM(K18:K29)</f>
        <v>53789.47368421053</v>
      </c>
      <c r="L30" s="19">
        <f>SUM(L18:L29)</f>
        <v>53789.47368421053</v>
      </c>
      <c r="M30" s="19">
        <f>SUM(M18:M29)</f>
        <v>53789.47368421053</v>
      </c>
      <c r="N30" s="19">
        <f>SUM(N18:N29)</f>
        <v>53789.47368421053</v>
      </c>
      <c r="O30" s="19">
        <f>SUM(O18:O29)</f>
        <v>53789.47368421053</v>
      </c>
      <c r="P30" s="19">
        <f>SUM(P18:P29)</f>
        <v>53789.47368421053</v>
      </c>
      <c r="Q30" s="19">
        <f>SUM(Q18:Q29)</f>
        <v>53789.47368421053</v>
      </c>
      <c r="R30" s="19">
        <f>SUM(R18:R29)</f>
        <v>53789.47368421053</v>
      </c>
      <c r="S30" s="19">
        <f>SUM(S18:S29)</f>
        <v>161476.0852747753</v>
      </c>
      <c r="T30" s="19">
        <f>SUM(T18:T29)</f>
        <v>183013.4075928883</v>
      </c>
      <c r="U30" s="19">
        <f>SUM(U18:U29)</f>
        <v>53789.47368421053</v>
      </c>
      <c r="V30" s="19">
        <f>SUM(V18:V29)</f>
        <v>53789.47368421053</v>
      </c>
      <c r="W30" s="19">
        <f>SUM(W18:W29)</f>
        <v>53789.47368421053</v>
      </c>
      <c r="X30" s="19">
        <f>SUM(X18:X29)</f>
        <v>53789.47368421053</v>
      </c>
      <c r="Y30" s="19">
        <f>SUM(Y18:Y29)</f>
        <v>53789.47368421053</v>
      </c>
      <c r="Z30" s="19">
        <f>SUMIF($B$13:$Y$13,"Yes",B30:Y30)</f>
        <v>613436.8612887163</v>
      </c>
      <c r="AA30" s="19">
        <f>SUM(B30:M30)</f>
        <v>882384.2297097691</v>
      </c>
      <c r="AB30" s="19">
        <f>SUM(B30:Y30)</f>
        <v>1764768.459419538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24000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24000</v>
      </c>
      <c r="Z36" s="36">
        <f>SUMIF($B$13:$Y$13,"Yes",B36:Y36)</f>
        <v>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24000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24000</v>
      </c>
      <c r="Z37" s="36">
        <f>SUMIF($B$13:$Y$13,"Yes",B37:Y37)</f>
        <v>0</v>
      </c>
      <c r="AA37" s="36">
        <f>SUM(B37:M37)</f>
        <v>24000</v>
      </c>
      <c r="AB37" s="36">
        <f>SUM(B37:Y37)</f>
        <v>48000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3636.000000000001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3636.000000000001</v>
      </c>
      <c r="Z42" s="36">
        <f>SUMIF($B$13:$Y$13,"Yes",B42:Y42)</f>
        <v>0</v>
      </c>
      <c r="AA42" s="36">
        <f>SUM(B42:M42)</f>
        <v>3636.000000000001</v>
      </c>
      <c r="AB42" s="36">
        <f>SUM(B42:Y42)</f>
        <v>7272.000000000002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3636.000000000001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3636.000000000001</v>
      </c>
      <c r="Z43" s="36">
        <f>SUMIF($B$13:$Y$13,"Yes",B43:Y43)</f>
        <v>0</v>
      </c>
      <c r="AA43" s="36">
        <f>SUM(B43:M43)</f>
        <v>3636.000000000001</v>
      </c>
      <c r="AB43" s="36">
        <f>SUM(B43:Y43)</f>
        <v>7272.000000000002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3600</v>
      </c>
      <c r="AA48" s="46">
        <f>SUM(B48:M48)</f>
        <v>3600</v>
      </c>
      <c r="AB48" s="46">
        <f>SUM(B48:Y48)</f>
        <v>7200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3600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</v>
      </c>
      <c r="AA49" s="46">
        <f>SUM(B49:M49)</f>
        <v>3600</v>
      </c>
      <c r="AB49" s="46">
        <f>SUM(B49:Y49)</f>
        <v>7200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52418.87971604212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52418.87971604212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52418.87971604212</v>
      </c>
      <c r="AA54" s="46">
        <f>SUM(B54:M54)</f>
        <v>52418.87971604212</v>
      </c>
      <c r="AB54" s="46">
        <f>SUM(B54:Y54)</f>
        <v>104837.7594320842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52418.87971604212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52418.87971604212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52418.87971604212</v>
      </c>
      <c r="AA55" s="46">
        <f>SUM(B55:M55)</f>
        <v>52418.87971604212</v>
      </c>
      <c r="AB55" s="46">
        <f>SUM(B55:Y55)</f>
        <v>104837.7594320842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8571.428571428571</v>
      </c>
      <c r="C60" s="36">
        <f>O60</f>
        <v>8571.428571428571</v>
      </c>
      <c r="D60" s="36">
        <f>P60</f>
        <v>8571.428571428571</v>
      </c>
      <c r="E60" s="36">
        <f>Q60</f>
        <v>8571.428571428571</v>
      </c>
      <c r="F60" s="36">
        <f>R60</f>
        <v>8571.428571428571</v>
      </c>
      <c r="G60" s="36">
        <f>S60</f>
        <v>8571.428571428571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8571.428571428571</v>
      </c>
      <c r="N60" s="46">
        <f>SUM(N61:N65)</f>
        <v>8571.428571428571</v>
      </c>
      <c r="O60" s="46">
        <f>SUM(O61:O65)</f>
        <v>8571.428571428571</v>
      </c>
      <c r="P60" s="46">
        <f>SUM(P61:P65)</f>
        <v>8571.428571428571</v>
      </c>
      <c r="Q60" s="46">
        <f>SUM(Q61:Q65)</f>
        <v>8571.428571428571</v>
      </c>
      <c r="R60" s="46">
        <f>SUM(R61:R65)</f>
        <v>8571.428571428571</v>
      </c>
      <c r="S60" s="46">
        <f>SUM(S61:S65)</f>
        <v>8571.428571428571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8571.428571428571</v>
      </c>
      <c r="Z60" s="46">
        <f>SUMIF($B$13:$Y$13,"Yes",B60:Y60)</f>
        <v>51428.57142857143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Maize</v>
      </c>
      <c r="B61" s="36">
        <f>N61</f>
        <v>8571.428571428571</v>
      </c>
      <c r="C61" s="36">
        <f>O61</f>
        <v>8571.428571428571</v>
      </c>
      <c r="D61" s="36">
        <f>P61</f>
        <v>8571.428571428571</v>
      </c>
      <c r="E61" s="36">
        <f>Q61</f>
        <v>8571.428571428571</v>
      </c>
      <c r="F61" s="36">
        <f>R61</f>
        <v>8571.428571428571</v>
      </c>
      <c r="G61" s="36">
        <f>S61</f>
        <v>8571.428571428571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8571.428571428571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8571.428571428571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8571.428571428571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8571.428571428571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8571.428571428571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8571.428571428571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8571.428571428571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8571.428571428571</v>
      </c>
      <c r="Z61" s="46">
        <f>SUMIF($B$13:$Y$13,"Yes",B61:Y61)</f>
        <v>51428.57142857143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13165.71428571429</v>
      </c>
      <c r="C66" s="36">
        <f>O66</f>
        <v>13165.71428571429</v>
      </c>
      <c r="D66" s="36">
        <f>P66</f>
        <v>13165.71428571429</v>
      </c>
      <c r="E66" s="36">
        <f>Q66</f>
        <v>13165.71428571429</v>
      </c>
      <c r="F66" s="36">
        <f>R66</f>
        <v>13165.71428571429</v>
      </c>
      <c r="G66" s="36">
        <f>S66</f>
        <v>13165.71428571429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13165.71428571429</v>
      </c>
      <c r="N66" s="46">
        <f>SUM(N67:N71)</f>
        <v>13165.71428571429</v>
      </c>
      <c r="O66" s="46">
        <f>SUM(O67:O71)</f>
        <v>13165.71428571429</v>
      </c>
      <c r="P66" s="46">
        <f>SUM(P67:P71)</f>
        <v>13165.71428571429</v>
      </c>
      <c r="Q66" s="46">
        <f>SUM(Q67:Q71)</f>
        <v>13165.71428571429</v>
      </c>
      <c r="R66" s="46">
        <f>SUM(R67:R71)</f>
        <v>13165.71428571429</v>
      </c>
      <c r="S66" s="46">
        <f>SUM(S67:S71)</f>
        <v>13165.71428571429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13165.71428571429</v>
      </c>
      <c r="Z66" s="46">
        <f>SUMIF($B$13:$Y$13,"Yes",B66:Y66)</f>
        <v>78994.28571428572</v>
      </c>
      <c r="AA66" s="46">
        <f>SUM(B66:M66)</f>
        <v>92160.00000000001</v>
      </c>
      <c r="AB66" s="46">
        <f>SUM(B66:Y66)</f>
        <v>184320</v>
      </c>
    </row>
    <row r="67" spans="1:30" hidden="true" outlineLevel="1">
      <c r="A67" s="181" t="str">
        <f>Calculations!$A$4</f>
        <v>Maize</v>
      </c>
      <c r="B67" s="36">
        <f>N67</f>
        <v>13165.71428571429</v>
      </c>
      <c r="C67" s="36">
        <f>O67</f>
        <v>13165.71428571429</v>
      </c>
      <c r="D67" s="36">
        <f>P67</f>
        <v>13165.71428571429</v>
      </c>
      <c r="E67" s="36">
        <f>Q67</f>
        <v>13165.71428571429</v>
      </c>
      <c r="F67" s="36">
        <f>R67</f>
        <v>13165.71428571429</v>
      </c>
      <c r="G67" s="36">
        <f>S67</f>
        <v>13165.71428571429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13165.71428571429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13165.71428571429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13165.71428571429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13165.71428571429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13165.71428571429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13165.71428571429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13165.71428571429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13165.71428571429</v>
      </c>
      <c r="Z67" s="46">
        <f>SUMIF($B$13:$Y$13,"Yes",B67:Y67)</f>
        <v>78994.28571428572</v>
      </c>
      <c r="AA67" s="46">
        <f>SUM(B67:M67)</f>
        <v>92160.00000000001</v>
      </c>
      <c r="AB67" s="46">
        <f>SUM(B67:Y67)</f>
        <v>184320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26614.58333333333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2916.666666666667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17500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140000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10864.81166645756</v>
      </c>
      <c r="C81" s="46">
        <f>(SUM($AA$18:$AA$29)-SUM($AA$36,$AA$42,$AA$48,$AA$54,$AA$60,$AA$66,$AA$72:$AA$79))*Parameters!$B$37/12</f>
        <v>10864.81166645756</v>
      </c>
      <c r="D81" s="46">
        <f>(SUM($AA$18:$AA$29)-SUM($AA$36,$AA$42,$AA$48,$AA$54,$AA$60,$AA$66,$AA$72:$AA$79))*Parameters!$B$37/12</f>
        <v>10864.81166645756</v>
      </c>
      <c r="E81" s="46">
        <f>(SUM($AA$18:$AA$29)-SUM($AA$36,$AA$42,$AA$48,$AA$54,$AA$60,$AA$66,$AA$72:$AA$79))*Parameters!$B$37/12</f>
        <v>10864.81166645756</v>
      </c>
      <c r="F81" s="46">
        <f>(SUM($AA$18:$AA$29)-SUM($AA$36,$AA$42,$AA$48,$AA$54,$AA$60,$AA$66,$AA$72:$AA$79))*Parameters!$B$37/12</f>
        <v>10864.81166645756</v>
      </c>
      <c r="G81" s="46">
        <f>(SUM($AA$18:$AA$29)-SUM($AA$36,$AA$42,$AA$48,$AA$54,$AA$60,$AA$66,$AA$72:$AA$79))*Parameters!$B$37/12</f>
        <v>10864.81166645756</v>
      </c>
      <c r="H81" s="46">
        <f>(SUM($AA$18:$AA$29)-SUM($AA$36,$AA$42,$AA$48,$AA$54,$AA$60,$AA$66,$AA$72:$AA$79))*Parameters!$B$37/12</f>
        <v>10864.81166645756</v>
      </c>
      <c r="I81" s="46">
        <f>(SUM($AA$18:$AA$29)-SUM($AA$36,$AA$42,$AA$48,$AA$54,$AA$60,$AA$66,$AA$72:$AA$79))*Parameters!$B$37/12</f>
        <v>10864.81166645756</v>
      </c>
      <c r="J81" s="46">
        <f>(SUM($AA$18:$AA$29)-SUM($AA$36,$AA$42,$AA$48,$AA$54,$AA$60,$AA$66,$AA$72:$AA$79))*Parameters!$B$37/12</f>
        <v>10864.81166645756</v>
      </c>
      <c r="K81" s="46">
        <f>(SUM($AA$18:$AA$29)-SUM($AA$36,$AA$42,$AA$48,$AA$54,$AA$60,$AA$66,$AA$72:$AA$79))*Parameters!$B$37/12</f>
        <v>10864.81166645756</v>
      </c>
      <c r="L81" s="46">
        <f>(SUM($AA$18:$AA$29)-SUM($AA$36,$AA$42,$AA$48,$AA$54,$AA$60,$AA$66,$AA$72:$AA$79))*Parameters!$B$37/12</f>
        <v>10864.81166645756</v>
      </c>
      <c r="M81" s="46">
        <f>(SUM($AA$18:$AA$29)-SUM($AA$36,$AA$42,$AA$48,$AA$54,$AA$60,$AA$66,$AA$72:$AA$79))*Parameters!$B$37/12</f>
        <v>10864.81166645756</v>
      </c>
      <c r="N81" s="46">
        <f>(SUM($AA$18:$AA$29)-SUM($AA$36,$AA$42,$AA$48,$AA$54,$AA$60,$AA$66,$AA$72:$AA$79))*Parameters!$B$37/12</f>
        <v>10864.81166645756</v>
      </c>
      <c r="O81" s="46">
        <f>(SUM($AA$18:$AA$29)-SUM($AA$36,$AA$42,$AA$48,$AA$54,$AA$60,$AA$66,$AA$72:$AA$79))*Parameters!$B$37/12</f>
        <v>10864.81166645756</v>
      </c>
      <c r="P81" s="46">
        <f>(SUM($AA$18:$AA$29)-SUM($AA$36,$AA$42,$AA$48,$AA$54,$AA$60,$AA$66,$AA$72:$AA$79))*Parameters!$B$37/12</f>
        <v>10864.81166645756</v>
      </c>
      <c r="Q81" s="46">
        <f>(SUM($AA$18:$AA$29)-SUM($AA$36,$AA$42,$AA$48,$AA$54,$AA$60,$AA$66,$AA$72:$AA$79))*Parameters!$B$37/12</f>
        <v>10864.81166645756</v>
      </c>
      <c r="R81" s="46">
        <f>(SUM($AA$18:$AA$29)-SUM($AA$36,$AA$42,$AA$48,$AA$54,$AA$60,$AA$66,$AA$72:$AA$79))*Parameters!$B$37/12</f>
        <v>10864.81166645756</v>
      </c>
      <c r="S81" s="46">
        <f>(SUM($AA$18:$AA$29)-SUM($AA$36,$AA$42,$AA$48,$AA$54,$AA$60,$AA$66,$AA$72:$AA$79))*Parameters!$B$37/12</f>
        <v>10864.81166645756</v>
      </c>
      <c r="T81" s="46">
        <f>(SUM($AA$18:$AA$29)-SUM($AA$36,$AA$42,$AA$48,$AA$54,$AA$60,$AA$66,$AA$72:$AA$79))*Parameters!$B$37/12</f>
        <v>10864.81166645756</v>
      </c>
      <c r="U81" s="46">
        <f>(SUM($AA$18:$AA$29)-SUM($AA$36,$AA$42,$AA$48,$AA$54,$AA$60,$AA$66,$AA$72:$AA$79))*Parameters!$B$37/12</f>
        <v>10864.81166645756</v>
      </c>
      <c r="V81" s="46">
        <f>(SUM($AA$18:$AA$29)-SUM($AA$36,$AA$42,$AA$48,$AA$54,$AA$60,$AA$66,$AA$72:$AA$79))*Parameters!$B$37/12</f>
        <v>10864.81166645756</v>
      </c>
      <c r="W81" s="46">
        <f>(SUM($AA$18:$AA$29)-SUM($AA$36,$AA$42,$AA$48,$AA$54,$AA$60,$AA$66,$AA$72:$AA$79))*Parameters!$B$37/12</f>
        <v>10864.81166645756</v>
      </c>
      <c r="X81" s="46">
        <f>(SUM($AA$18:$AA$29)-SUM($AA$36,$AA$42,$AA$48,$AA$54,$AA$60,$AA$66,$AA$72:$AA$79))*Parameters!$B$37/12</f>
        <v>10864.81166645756</v>
      </c>
      <c r="Y81" s="46">
        <f>(SUM($AA$18:$AA$29)-SUM($AA$36,$AA$42,$AA$48,$AA$54,$AA$60,$AA$66,$AA$72:$AA$79))*Parameters!$B$37/12</f>
        <v>10864.81166645756</v>
      </c>
      <c r="Z81" s="46">
        <f>SUMIF($B$13:$Y$13,"Yes",B81:Y81)</f>
        <v>76053.68166520289</v>
      </c>
      <c r="AA81" s="46">
        <f>SUM(B81:M81)</f>
        <v>130377.7399974907</v>
      </c>
      <c r="AB81" s="46">
        <f>SUM(B81:Y81)</f>
        <v>260755.4799949815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59320.70452360042</v>
      </c>
      <c r="C88" s="19">
        <f>SUM(C72:C82,C66,C60,C54,C48,C42,C36)</f>
        <v>59320.70452360042</v>
      </c>
      <c r="D88" s="19">
        <f>SUM(D72:D82,D66,D60,D54,D48,D42,D36)</f>
        <v>62920.70452360042</v>
      </c>
      <c r="E88" s="19">
        <f>SUM(E72:E82,E66,E60,E54,E48,E42,E36)</f>
        <v>59320.70452360042</v>
      </c>
      <c r="F88" s="19">
        <f>SUM(F72:F82,F66,F60,F54,F48,F42,F36)</f>
        <v>59320.70452360042</v>
      </c>
      <c r="G88" s="19">
        <f>SUM(G72:G82,G66,G60,G54,G48,G42,G36)</f>
        <v>111739.5842396425</v>
      </c>
      <c r="H88" s="19">
        <f>SUM(H72:H82,H66,H60,H54,H48,H42,H36)</f>
        <v>37583.56166645756</v>
      </c>
      <c r="I88" s="19">
        <f>SUM(I72:I82,I66,I60,I54,I48,I42,I36)</f>
        <v>37583.56166645756</v>
      </c>
      <c r="J88" s="19">
        <f>SUM(J72:J82,J66,J60,J54,J48,J42,J36)</f>
        <v>37583.56166645756</v>
      </c>
      <c r="K88" s="19">
        <f>SUM(K72:K82,K66,K60,K54,K48,K42,K36)</f>
        <v>37583.56166645756</v>
      </c>
      <c r="L88" s="19">
        <f>SUM(L72:L82,L66,L60,L54,L48,L42,L36)</f>
        <v>37583.56166645756</v>
      </c>
      <c r="M88" s="19">
        <f>SUM(M72:M82,M66,M60,M54,M48,M42,M36)</f>
        <v>86956.70452360042</v>
      </c>
      <c r="N88" s="19">
        <f>SUM(N72:N82,N66,N60,N54,N48,N42,N36)</f>
        <v>59320.70452360042</v>
      </c>
      <c r="O88" s="19">
        <f>SUM(O72:O82,O66,O60,O54,O48,O42,O36)</f>
        <v>59320.70452360042</v>
      </c>
      <c r="P88" s="19">
        <f>SUM(P72:P82,P66,P60,P54,P48,P42,P36)</f>
        <v>62920.70452360042</v>
      </c>
      <c r="Q88" s="19">
        <f>SUM(Q72:Q82,Q66,Q60,Q54,Q48,Q42,Q36)</f>
        <v>59320.70452360042</v>
      </c>
      <c r="R88" s="19">
        <f>SUM(R72:R82,R66,R60,R54,R48,R42,R36)</f>
        <v>59320.70452360042</v>
      </c>
      <c r="S88" s="19">
        <f>SUM(S72:S82,S66,S60,S54,S48,S42,S36)</f>
        <v>111739.5842396425</v>
      </c>
      <c r="T88" s="19">
        <f>SUM(T72:T82,T66,T60,T54,T48,T42,T36)</f>
        <v>37583.56166645756</v>
      </c>
      <c r="U88" s="19">
        <f>SUM(U72:U82,U66,U60,U54,U48,U42,U36)</f>
        <v>37583.56166645756</v>
      </c>
      <c r="V88" s="19">
        <f>SUM(V72:V82,V66,V60,V54,V48,V42,V36)</f>
        <v>37583.56166645756</v>
      </c>
      <c r="W88" s="19">
        <f>SUM(W72:W82,W66,W60,W54,W48,W42,W36)</f>
        <v>37583.56166645756</v>
      </c>
      <c r="X88" s="19">
        <f>SUM(X72:X82,X66,X60,X54,X48,X42,X36)</f>
        <v>37583.56166645756</v>
      </c>
      <c r="Y88" s="19">
        <f>SUM(Y72:Y82,Y66,Y60,Y54,Y48,Y42,Y36)</f>
        <v>86956.70452360042</v>
      </c>
      <c r="Z88" s="19">
        <f>SUMIF($B$13:$Y$13,"Yes",B88:Y88)</f>
        <v>449526.6685241022</v>
      </c>
      <c r="AA88" s="19">
        <f>SUM(B88:M88)</f>
        <v>686817.6197135329</v>
      </c>
      <c r="AB88" s="19">
        <f>SUM(B88:Y88)</f>
        <v>1373635.239427065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4900000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20000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500000</v>
      </c>
    </row>
    <row r="49" spans="1:48" customHeight="1" ht="30">
      <c r="A49" s="57" t="s">
        <v>133</v>
      </c>
      <c r="B49" s="161">
        <v>100000</v>
      </c>
    </row>
    <row r="50" spans="1:48">
      <c r="A50" s="43"/>
      <c r="B50" s="36"/>
    </row>
    <row r="51" spans="1:48">
      <c r="A51" s="58" t="s">
        <v>134</v>
      </c>
      <c r="B51" s="161">
        <v>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597239</v>
      </c>
      <c r="C66" s="163">
        <v>576902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567790</v>
      </c>
      <c r="C67" s="165">
        <v>547292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428638</v>
      </c>
      <c r="C68" s="165">
        <v>400268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487948</v>
      </c>
      <c r="C69" s="165">
        <v>468393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508837</v>
      </c>
      <c r="C70" s="165">
        <v>487353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550363</v>
      </c>
      <c r="C71" s="167">
        <v>501774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19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6</v>
      </c>
    </row>
    <row r="86" spans="1:48">
      <c r="A86" t="s">
        <v>166</v>
      </c>
      <c r="B86" s="161">
        <v>3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43556</v>
      </c>
      <c r="D4" s="38">
        <f>IFERROR(DATE(YEAR(B4),MONTH(B4)+T4,DAY(B4)),"")</f>
        <v>43647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43556</v>
      </c>
      <c r="G4" s="38">
        <f>IFERROR(IF($S4=0,"",IF($S4=2,DATE(YEAR(D4),MONTH(D4)+6,DAY(D4)),IF($S4=1,D4,""))),"")</f>
        <v>43647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11395.4086339222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215373.2231811296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26209.43985802106</v>
      </c>
      <c r="AB4" s="33">
        <f>H4*IFERROR(INDEX(Parameters!$A$3:$AI$17,MATCH(Calculations!A4,Parameters!$A$3:$A$17,0),MATCH(Parameters!$O$3,Parameters!$A$3:$AI$3,0)),AVERAGE(Parameters!$O$4:$O$17))*(1-Inputs!$B$25/100)</f>
        <v>57600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645473.6842105263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10000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43189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43218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43221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43279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43309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43340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43313</v>
      </c>
      <c r="F38" t="s">
        <v>223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166</v>
      </c>
      <c r="G39" s="27">
        <f>IF(Inputs!B86="",0,Inputs!B86)</f>
        <v>3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224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127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109</v>
      </c>
      <c r="H78" s="12" t="s">
        <v>313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