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<sst xmlns="http://schemas.openxmlformats.org/spreadsheetml/2006/main" uniqueCount="366">
  <si>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</si>
  <si>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</si>
  <si>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</si>
  <si>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</si>
  <si>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</si>
  <si>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</si>
  <si>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</si>
  <si>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</si>
  <si>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</si>
  <si>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</si>
  <si>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</si>
  <si>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</si>
  <si>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</si>
  <si>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</si>
  <si>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</si>
  <si>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</si>
  <si>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</si>
  <si>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</si>
  <si>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</si>
  <si>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</si>
  <si>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</si>
  <si>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</si>
  <si>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</si>
  <si>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</si>
  <si>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</si>
  <si>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</si>
  <si>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</si>
  <si>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</si>
  <si>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</si>
  <si>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</si>
  <si>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</si>
  <si>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</si>
  <si>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</si>
  <si>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</si>
  <si>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</si>
  <si>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</si>
  <si>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</si>
  <si>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</si>
  <si>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</si>
  <si>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</si>
  <si>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</si>
  <si>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</si>
  <si>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</si>
  <si>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</si>
  <si>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</si>
  <si>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</si>
  <si>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</si>
  <si>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</si>
  <si>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</si>
  <si>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</si>
  <si>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</si>
  <si>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</si>
  <si>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</si>
  <si>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</si>
  <si>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</si>
  <si>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</si>
  <si>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</si>
  <si>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</si>
  <si>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</si>
  <si>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</si>
  <si>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</si>
  <si>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</si>
  <si>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</si>
  <si>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</si>
  <si>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</si>
  <si>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</si>
  <si>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</si>
  <si>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</si>
  <si>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</si>
  <si>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</si>
  <si>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</si>
  <si>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</si>
  <si>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</si>
  <si>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</si>
  <si>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</si>
  <si>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</si>
  <si>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</si>
  <si>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</si>
  <si>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</si>
  <si>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</si>
  <si>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</si>
  <si>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</si>
  <si>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</si>
  <si>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</si>
  <si>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</si>
  <si>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</si>
  <si>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</si>
  <si>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</si>
  <si>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</si>
  <si>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</si>
  <si>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</si>
  <si>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</si>
  <si>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Yes</t>
  </si>
  <si>
    <t>Yes without the use of a pump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</si>
  <si>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</si>
  <si>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</si>
  <si>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</si>
  <si>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</si>
  <si>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</si>
  <si>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</si>
  <si>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</si>
  <si>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</si>
  <si>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</si>
  <si>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</si>
  <si>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</si>
  <si>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</si>
  <si>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</si>
  <si>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</si>
  <si>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</si>
  <si>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</si>
  <si>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</si>
  <si>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</si>
  <si>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</si>
  <si>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</si>
  <si>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Employment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</si>
  <si>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</si>
  <si>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</si>
  <si>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</si>
  <si>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</si>
  <si>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</si>
  <si>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</si>
  <si>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</si>
  <si>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Greenhouse</t>
  </si>
  <si>
    <t>July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</si>
  <si>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</si>
  <si>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</si>
  <si>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</si>
  <si>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</si>
  <si>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</si>
  <si>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</si>
  <si>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</si>
  <si>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</si>
  <si>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</si>
  <si>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</si>
  <si>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</si>
  <si>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</si>
  <si>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</si>
  <si>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</si>
  <si>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</si>
  <si>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</si>
  <si>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</si>
  <si>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</si>
  <si>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</si>
  <si>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</si>
  <si>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</si>
  <si>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</si>
  <si>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</si>
  <si>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</si>
  <si>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</si>
  <si>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</si>
  <si>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</si>
  <si>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</si>
  <si>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</si>
  <si>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</si>
  <si>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</si>
  <si>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</si>
  <si>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</si>
  <si>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2018/2/21</t>
  </si>
  <si>
    <t>Loan terms</t>
  </si>
  <si>
    <t>Expected disbursement date</t>
  </si>
  <si>
    <t>Expected first repayment date</t>
  </si>
  <si>
    <t>2018/3/21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</si>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</sst>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November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Chicken: sale of ex layers</v>
      </c>
    </row>
    <row r="8" spans="1:7">
      <c r="B8" s="1" t="s">
        <v>4</v>
      </c>
      <c r="C8" t="str">
        <f>IF(Inputs!B29="","None",Inputs!B29)</f>
        <v>Employment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3.292211593846382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2018</v>
      </c>
    </row>
    <row r="13" spans="1:7">
      <c r="B13" s="1" t="s">
        <v>8</v>
      </c>
      <c r="C13" s="67">
        <f>IFERROR(Output!B107/Output!B101,"")</f>
        <v>0.02559836170485089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70833.33333333333</v>
      </c>
    </row>
    <row r="17" spans="1:7">
      <c r="B17" s="1" t="s">
        <v>11</v>
      </c>
      <c r="C17" s="36">
        <f>SUM(Output!B6:M6)</f>
        <v>-582377.1278195491</v>
      </c>
    </row>
    <row r="18" spans="1:7">
      <c r="B18" s="1" t="s">
        <v>12</v>
      </c>
      <c r="C18" s="36">
        <f>MIN(Output!B6:M6)</f>
        <v>-887541.8439849624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2018</v>
      </c>
    </row>
    <row r="20" spans="1:7">
      <c r="B20" s="1" t="s">
        <v>14</v>
      </c>
      <c r="C20" s="36">
        <f>MAX(Output!B6:M6)</f>
        <v>80583.15601503759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1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52458.1560150376</v>
      </c>
      <c r="C6" s="51">
        <f>C30-C88</f>
        <v>72458.15601503759</v>
      </c>
      <c r="D6" s="51">
        <f>D30-D88</f>
        <v>72458.15601503759</v>
      </c>
      <c r="E6" s="51">
        <f>E30-E88</f>
        <v>72458.15601503759</v>
      </c>
      <c r="F6" s="51">
        <f>F30-F88</f>
        <v>72458.15601503759</v>
      </c>
      <c r="G6" s="51">
        <f>G30-G88</f>
        <v>-887541.8439849624</v>
      </c>
      <c r="H6" s="51">
        <f>H30-H88</f>
        <v>72458.15601503759</v>
      </c>
      <c r="I6" s="51">
        <f>I30-I88</f>
        <v>72458.15601503759</v>
      </c>
      <c r="J6" s="51">
        <f>J30-J88</f>
        <v>72458.15601503759</v>
      </c>
      <c r="K6" s="51">
        <f>K30-K88</f>
        <v>80583.15601503759</v>
      </c>
      <c r="L6" s="51">
        <f>L30-L88</f>
        <v>72458.15601503759</v>
      </c>
      <c r="M6" s="51">
        <f>M30-M88</f>
        <v>-407541.8439849624</v>
      </c>
      <c r="N6" s="51">
        <f>N30-N88</f>
        <v>52458.1560150376</v>
      </c>
      <c r="O6" s="51">
        <f>O30-O88</f>
        <v>72458.15601503759</v>
      </c>
      <c r="P6" s="51">
        <f>P30-P88</f>
        <v>72458.15601503759</v>
      </c>
      <c r="Q6" s="51">
        <f>Q30-Q88</f>
        <v>72458.15601503759</v>
      </c>
      <c r="R6" s="51">
        <f>R30-R88</f>
        <v>72458.15601503759</v>
      </c>
      <c r="S6" s="51">
        <f>S30-S88</f>
        <v>72458.15601503759</v>
      </c>
      <c r="T6" s="51">
        <f>T30-T88</f>
        <v>72458.15601503759</v>
      </c>
      <c r="U6" s="51">
        <f>U30-U88</f>
        <v>72458.15601503759</v>
      </c>
      <c r="V6" s="51">
        <f>V30-V88</f>
        <v>72458.15601503759</v>
      </c>
      <c r="W6" s="51">
        <f>W30-W88</f>
        <v>72458.15601503759</v>
      </c>
      <c r="X6" s="51">
        <f>X30-X88</f>
        <v>72458.15601503759</v>
      </c>
      <c r="Y6" s="51">
        <f>Y30-Y88</f>
        <v>-407541.8439849624</v>
      </c>
      <c r="Z6" s="51">
        <f>SUMIF($B$13:$Y$13,"Yes",B6:Y6)</f>
        <v>-327876.5958646619</v>
      </c>
      <c r="AA6" s="51">
        <f>AA30-AA88</f>
        <v>-582377.1278195491</v>
      </c>
      <c r="AB6" s="51">
        <f>AB30-AB88</f>
        <v>-212879.2556390981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-66149</v>
      </c>
      <c r="I7" s="80">
        <f>IF(ISERROR(VLOOKUP(MONTH(I5),Inputs!$D$66:$D$71,1,0)),"",INDEX(Inputs!$B$66:$B$71,MATCH(MONTH(Output!I5),Inputs!$D$66:$D$71,0))-INDEX(Inputs!$C$66:$C$71,MATCH(MONTH(Output!I5),Inputs!$D$66:$D$71,0)))</f>
        <v>-49034</v>
      </c>
      <c r="J7" s="80">
        <f>IF(ISERROR(VLOOKUP(MONTH(J5),Inputs!$D$66:$D$71,1,0)),"",INDEX(Inputs!$B$66:$B$71,MATCH(MONTH(Output!J5),Inputs!$D$66:$D$71,0))-INDEX(Inputs!$C$66:$C$71,MATCH(MONTH(Output!J5),Inputs!$D$66:$D$71,0)))</f>
        <v>6573</v>
      </c>
      <c r="K7" s="80">
        <f>IF(ISERROR(VLOOKUP(MONTH(K5),Inputs!$D$66:$D$71,1,0)),"",INDEX(Inputs!$B$66:$B$71,MATCH(MONTH(Output!K5),Inputs!$D$66:$D$71,0))-INDEX(Inputs!$C$66:$C$71,MATCH(MONTH(Output!K5),Inputs!$D$66:$D$71,0)))</f>
        <v>-6601</v>
      </c>
      <c r="L7" s="80">
        <f>IF(ISERROR(VLOOKUP(MONTH(L5),Inputs!$D$66:$D$71,1,0)),"",INDEX(Inputs!$B$66:$B$71,MATCH(MONTH(Output!L5),Inputs!$D$66:$D$71,0))-INDEX(Inputs!$C$66:$C$71,MATCH(MONTH(Output!L5),Inputs!$D$66:$D$71,0)))</f>
        <v>178185</v>
      </c>
      <c r="M7" s="80">
        <f>IF(ISERROR(VLOOKUP(MONTH(M5),Inputs!$D$66:$D$71,1,0)),"",INDEX(Inputs!$B$66:$B$71,MATCH(MONTH(Output!M5),Inputs!$D$66:$D$71,0))-INDEX(Inputs!$C$66:$C$71,MATCH(MONTH(Output!M5),Inputs!$D$66:$D$71,0)))</f>
        <v>-29240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-66149</v>
      </c>
      <c r="U7" s="80">
        <f>IF(ISERROR(VLOOKUP(MONTH(U5),Inputs!$D$66:$D$71,1,0)),"",INDEX(Inputs!$B$66:$B$71,MATCH(MONTH(Output!U5),Inputs!$D$66:$D$71,0))-INDEX(Inputs!$C$66:$C$71,MATCH(MONTH(Output!U5),Inputs!$D$66:$D$71,0)))</f>
        <v>-49034</v>
      </c>
      <c r="V7" s="80">
        <f>IF(ISERROR(VLOOKUP(MONTH(V5),Inputs!$D$66:$D$71,1,0)),"",INDEX(Inputs!$B$66:$B$71,MATCH(MONTH(Output!V5),Inputs!$D$66:$D$71,0))-INDEX(Inputs!$C$66:$C$71,MATCH(MONTH(Output!V5),Inputs!$D$66:$D$71,0)))</f>
        <v>6573</v>
      </c>
      <c r="W7" s="80">
        <f>IF(ISERROR(VLOOKUP(MONTH(W5),Inputs!$D$66:$D$71,1,0)),"",INDEX(Inputs!$B$66:$B$71,MATCH(MONTH(Output!W5),Inputs!$D$66:$D$71,0))-INDEX(Inputs!$C$66:$C$71,MATCH(MONTH(Output!W5),Inputs!$D$66:$D$71,0)))</f>
        <v>-6601</v>
      </c>
      <c r="X7" s="80">
        <f>IF(ISERROR(VLOOKUP(MONTH(X5),Inputs!$D$66:$D$71,1,0)),"",INDEX(Inputs!$B$66:$B$71,MATCH(MONTH(Output!X5),Inputs!$D$66:$D$71,0))-INDEX(Inputs!$C$66:$C$71,MATCH(MONTH(Output!X5),Inputs!$D$66:$D$71,0)))</f>
        <v>178185</v>
      </c>
      <c r="Y7" s="80">
        <f>IF(ISERROR(VLOOKUP(MONTH(Y5),Inputs!$D$66:$D$71,1,0)),"",INDEX(Inputs!$B$66:$B$71,MATCH(MONTH(Output!Y5),Inputs!$D$66:$D$71,0))-INDEX(Inputs!$C$66:$C$71,MATCH(MONTH(Output!Y5),Inputs!$D$66:$D$71,0)))</f>
        <v>-29240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500000</v>
      </c>
      <c r="AA9" s="75">
        <f>SUM(B9:M9)</f>
        <v>500000</v>
      </c>
      <c r="AB9" s="75">
        <f>SUM(B9:Y9)</f>
        <v>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70833.33333333333</v>
      </c>
      <c r="D10" s="37">
        <f>SUMPRODUCT((Calculations!$D$33:$D$84=Output!D5)+0,Calculations!$C$33:$C$84)</f>
        <v>70833.33333333333</v>
      </c>
      <c r="E10" s="37">
        <f>SUMPRODUCT((Calculations!$D$33:$D$84=Output!E5)+0,Calculations!$C$33:$C$84)</f>
        <v>70833.33333333333</v>
      </c>
      <c r="F10" s="37">
        <f>SUMPRODUCT((Calculations!$D$33:$D$84=Output!F5)+0,Calculations!$C$33:$C$84)</f>
        <v>70833.33333333333</v>
      </c>
      <c r="G10" s="37">
        <f>SUMPRODUCT((Calculations!$D$33:$D$84=Output!G5)+0,Calculations!$C$33:$C$84)</f>
        <v>70833.33333333333</v>
      </c>
      <c r="H10" s="37">
        <f>SUMPRODUCT((Calculations!$D$33:$D$84=Output!H5)+0,Calculations!$C$33:$C$84)</f>
        <v>70833.33333333333</v>
      </c>
      <c r="I10" s="37">
        <f>SUMPRODUCT((Calculations!$D$33:$D$84=Output!I5)+0,Calculations!$C$33:$C$84)</f>
        <v>70833.33333333333</v>
      </c>
      <c r="J10" s="37">
        <f>SUMPRODUCT((Calculations!$D$33:$D$84=Output!J5)+0,Calculations!$C$33:$C$84)</f>
        <v>70833.33333333333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566666.6666666666</v>
      </c>
      <c r="AA10" s="37">
        <f>SUM(B10:M10)</f>
        <v>566666.6666666666</v>
      </c>
      <c r="AB10" s="37">
        <f>SUM(B10:Y10)</f>
        <v>566666.6666666666</v>
      </c>
    </row>
    <row r="11" spans="1:30" customHeight="1" ht="15.75">
      <c r="A11" s="43" t="s">
        <v>31</v>
      </c>
      <c r="B11" s="80">
        <f>B6+B9-B10</f>
        <v>552458.1560150376</v>
      </c>
      <c r="C11" s="80">
        <f>C6+C9-C10</f>
        <v>1624.82268170426</v>
      </c>
      <c r="D11" s="80">
        <f>D6+D9-D10</f>
        <v>1624.82268170426</v>
      </c>
      <c r="E11" s="80">
        <f>E6+E9-E10</f>
        <v>1624.82268170426</v>
      </c>
      <c r="F11" s="80">
        <f>F6+F9-F10</f>
        <v>1624.82268170426</v>
      </c>
      <c r="G11" s="80">
        <f>G6+G9-G10</f>
        <v>-958375.1773182958</v>
      </c>
      <c r="H11" s="80">
        <f>H6+H9-H10</f>
        <v>1624.82268170426</v>
      </c>
      <c r="I11" s="80">
        <f>I6+I9-I10</f>
        <v>1624.82268170426</v>
      </c>
      <c r="J11" s="80">
        <f>J6+J9-J10</f>
        <v>1624.82268170426</v>
      </c>
      <c r="K11" s="80">
        <f>K6+K9-K10</f>
        <v>80583.15601503759</v>
      </c>
      <c r="L11" s="80">
        <f>L6+L9-L10</f>
        <v>72458.15601503759</v>
      </c>
      <c r="M11" s="80">
        <f>M6+M9-M10</f>
        <v>-407541.8439849624</v>
      </c>
      <c r="N11" s="80">
        <f>N6+N9-N10</f>
        <v>52458.1560150376</v>
      </c>
      <c r="O11" s="80">
        <f>O6+O9-O10</f>
        <v>72458.15601503759</v>
      </c>
      <c r="P11" s="80">
        <f>P6+P9-P10</f>
        <v>72458.15601503759</v>
      </c>
      <c r="Q11" s="80">
        <f>Q6+Q9-Q10</f>
        <v>72458.15601503759</v>
      </c>
      <c r="R11" s="80">
        <f>R6+R9-R10</f>
        <v>72458.15601503759</v>
      </c>
      <c r="S11" s="80">
        <f>S6+S9-S10</f>
        <v>72458.15601503759</v>
      </c>
      <c r="T11" s="80">
        <f>T6+T9-T10</f>
        <v>72458.15601503759</v>
      </c>
      <c r="U11" s="80">
        <f>U6+U9-U10</f>
        <v>72458.15601503759</v>
      </c>
      <c r="V11" s="80">
        <f>V6+V9-V10</f>
        <v>72458.15601503759</v>
      </c>
      <c r="W11" s="80">
        <f>W6+W9-W10</f>
        <v>72458.15601503759</v>
      </c>
      <c r="X11" s="80">
        <f>X6+X9-X10</f>
        <v>72458.15601503759</v>
      </c>
      <c r="Y11" s="80">
        <f>Y6+Y9-Y10</f>
        <v>-407541.8439849624</v>
      </c>
      <c r="Z11" s="85">
        <f>SUMIF($B$13:$Y$13,"Yes",B11:Y11)</f>
        <v>-394543.2625313283</v>
      </c>
      <c r="AA11" s="80">
        <f>SUM(B11:M11)</f>
        <v>-649043.7944862155</v>
      </c>
      <c r="AB11" s="46">
        <f>SUM(B11:Y11)</f>
        <v>-279545.9223057645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0.1133485107841518</v>
      </c>
      <c r="D12" s="82">
        <f>IF(D13="Yes",IF(SUM($B$10:D10)/(SUM($B$6:D6)+SUM($B$9:D9))&lt;0,999.99,SUM($B$10:D10)/(SUM($B$6:D6)+SUM($B$9:D9))),"")</f>
        <v>0.2031428926037228</v>
      </c>
      <c r="E12" s="82">
        <f>IF(E13="Yes",IF(SUM($B$10:E10)/(SUM($B$6:E6)+SUM($B$9:E9))&lt;0,999.99,SUM($B$10:E10)/(SUM($B$6:E6)+SUM($B$9:E9))),"")</f>
        <v>0.276034027863434</v>
      </c>
      <c r="F12" s="82">
        <f>IF(F13="Yes",IF(SUM($B$10:F10)/(SUM($B$6:F6)+SUM($B$9:F9))&lt;0,999.99,SUM($B$10:F10)/(SUM($B$6:F6)+SUM($B$9:F9))),"")</f>
        <v>0.3363842274375143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15.62092701254856</v>
      </c>
      <c r="I12" s="82">
        <f>IF(I13="Yes",IF(SUM($B$10:I10)/(SUM($B$6:I6)+SUM($B$9:I9))&lt;0,999.99,SUM($B$10:I10)/(SUM($B$6:I6)+SUM($B$9:I9))),"")</f>
        <v>4.974987196488383</v>
      </c>
      <c r="J12" s="82">
        <f>IF(J13="Yes",IF(SUM($B$10:J10)/(SUM($B$6:J6)+SUM($B$9:J9))&lt;0,999.99,SUM($B$10:J10)/(SUM($B$6:J6)+SUM($B$9:J9))),"")</f>
        <v>3.292211593846382</v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6860.902255639098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4519.047619047617</v>
      </c>
      <c r="C24" s="36">
        <f>IFERROR(Calculations!$P14/12,"")</f>
        <v>4519.047619047617</v>
      </c>
      <c r="D24" s="36">
        <f>IFERROR(Calculations!$P14/12,"")</f>
        <v>4519.047619047617</v>
      </c>
      <c r="E24" s="36">
        <f>IFERROR(Calculations!$P14/12,"")</f>
        <v>4519.047619047617</v>
      </c>
      <c r="F24" s="36">
        <f>IFERROR(Calculations!$P14/12,"")</f>
        <v>4519.047619047617</v>
      </c>
      <c r="G24" s="36">
        <f>IFERROR(Calculations!$P14/12,"")</f>
        <v>4519.047619047617</v>
      </c>
      <c r="H24" s="36">
        <f>IFERROR(Calculations!$P14/12,"")</f>
        <v>4519.047619047617</v>
      </c>
      <c r="I24" s="36">
        <f>IFERROR(Calculations!$P14/12,"")</f>
        <v>4519.047619047617</v>
      </c>
      <c r="J24" s="36">
        <f>IFERROR(Calculations!$P14/12,"")</f>
        <v>4519.047619047617</v>
      </c>
      <c r="K24" s="36">
        <f>IFERROR(Calculations!$P14/12,"")</f>
        <v>4519.047619047617</v>
      </c>
      <c r="L24" s="36">
        <f>IFERROR(Calculations!$P14/12,"")</f>
        <v>4519.047619047617</v>
      </c>
      <c r="M24" s="36">
        <f>IFERROR(Calculations!$P14/12,"")</f>
        <v>4519.047619047617</v>
      </c>
      <c r="N24" s="36">
        <f>IFERROR(Calculations!$P14/12,"")</f>
        <v>4519.047619047617</v>
      </c>
      <c r="O24" s="36">
        <f>IFERROR(Calculations!$P14/12,"")</f>
        <v>4519.047619047617</v>
      </c>
      <c r="P24" s="36">
        <f>IFERROR(Calculations!$P14/12,"")</f>
        <v>4519.047619047617</v>
      </c>
      <c r="Q24" s="36">
        <f>IFERROR(Calculations!$P14/12,"")</f>
        <v>4519.047619047617</v>
      </c>
      <c r="R24" s="36">
        <f>IFERROR(Calculations!$P14/12,"")</f>
        <v>4519.047619047617</v>
      </c>
      <c r="S24" s="36">
        <f>IFERROR(Calculations!$P14/12,"")</f>
        <v>4519.047619047617</v>
      </c>
      <c r="T24" s="36">
        <f>IFERROR(Calculations!$P14/12,"")</f>
        <v>4519.047619047617</v>
      </c>
      <c r="U24" s="36">
        <f>IFERROR(Calculations!$P14/12,"")</f>
        <v>4519.047619047617</v>
      </c>
      <c r="V24" s="36">
        <f>IFERROR(Calculations!$P14/12,"")</f>
        <v>4519.047619047617</v>
      </c>
      <c r="W24" s="36">
        <f>IFERROR(Calculations!$P14/12,"")</f>
        <v>4519.047619047617</v>
      </c>
      <c r="X24" s="36">
        <f>IFERROR(Calculations!$P14/12,"")</f>
        <v>4519.047619047617</v>
      </c>
      <c r="Y24" s="36">
        <f>IFERROR(Calculations!$P14/12,"")</f>
        <v>4519.047619047617</v>
      </c>
      <c r="Z24" s="36">
        <f>SUMIF($B$13:$Y$13,"Yes",B24:Y24)</f>
        <v>40671.42857142856</v>
      </c>
      <c r="AA24" s="36">
        <f>SUM(B24:M24)</f>
        <v>54228.57142857141</v>
      </c>
      <c r="AB24" s="46">
        <f>SUM(B24:Y24)</f>
        <v>108457.1428571428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8124.999999999999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8124.999999999999</v>
      </c>
      <c r="AB27" s="46">
        <f>SUM(B27:Y27)</f>
        <v>8124.999999999999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105000</v>
      </c>
      <c r="C29" s="37">
        <f>Inputs!$B$30</f>
        <v>105000</v>
      </c>
      <c r="D29" s="37">
        <f>Inputs!$B$30</f>
        <v>105000</v>
      </c>
      <c r="E29" s="37">
        <f>Inputs!$B$30</f>
        <v>105000</v>
      </c>
      <c r="F29" s="37">
        <f>Inputs!$B$30</f>
        <v>105000</v>
      </c>
      <c r="G29" s="37">
        <f>Inputs!$B$30</f>
        <v>105000</v>
      </c>
      <c r="H29" s="37">
        <f>Inputs!$B$30</f>
        <v>105000</v>
      </c>
      <c r="I29" s="37">
        <f>Inputs!$B$30</f>
        <v>105000</v>
      </c>
      <c r="J29" s="37">
        <f>Inputs!$B$30</f>
        <v>105000</v>
      </c>
      <c r="K29" s="37">
        <f>Inputs!$B$30</f>
        <v>105000</v>
      </c>
      <c r="L29" s="37">
        <f>Inputs!$B$30</f>
        <v>105000</v>
      </c>
      <c r="M29" s="37">
        <f>Inputs!$B$30</f>
        <v>105000</v>
      </c>
      <c r="N29" s="37">
        <f>Inputs!$B$30</f>
        <v>105000</v>
      </c>
      <c r="O29" s="37">
        <f>Inputs!$B$30</f>
        <v>105000</v>
      </c>
      <c r="P29" s="37">
        <f>Inputs!$B$30</f>
        <v>105000</v>
      </c>
      <c r="Q29" s="37">
        <f>Inputs!$B$30</f>
        <v>105000</v>
      </c>
      <c r="R29" s="37">
        <f>Inputs!$B$30</f>
        <v>105000</v>
      </c>
      <c r="S29" s="37">
        <f>Inputs!$B$30</f>
        <v>105000</v>
      </c>
      <c r="T29" s="37">
        <f>Inputs!$B$30</f>
        <v>105000</v>
      </c>
      <c r="U29" s="37">
        <f>Inputs!$B$30</f>
        <v>105000</v>
      </c>
      <c r="V29" s="37">
        <f>Inputs!$B$30</f>
        <v>105000</v>
      </c>
      <c r="W29" s="37">
        <f>Inputs!$B$30</f>
        <v>105000</v>
      </c>
      <c r="X29" s="37">
        <f>Inputs!$B$30</f>
        <v>105000</v>
      </c>
      <c r="Y29" s="37">
        <f>Inputs!$B$30</f>
        <v>105000</v>
      </c>
      <c r="Z29" s="37">
        <f>SUMIF($B$13:$Y$13,"Yes",B29:Y29)</f>
        <v>945000</v>
      </c>
      <c r="AA29" s="37">
        <f>SUM(B29:M29)</f>
        <v>1260000</v>
      </c>
      <c r="AB29" s="37">
        <f>SUM(B29:Y29)</f>
        <v>2520000</v>
      </c>
    </row>
    <row r="30" spans="1:30" customHeight="1" ht="15.75">
      <c r="A30" s="1" t="s">
        <v>37</v>
      </c>
      <c r="B30" s="19">
        <f>SUM(B18:B29)</f>
        <v>109519.0476190476</v>
      </c>
      <c r="C30" s="19">
        <f>SUM(C18:C29)</f>
        <v>109519.0476190476</v>
      </c>
      <c r="D30" s="19">
        <f>SUM(D18:D29)</f>
        <v>109519.0476190476</v>
      </c>
      <c r="E30" s="19">
        <f>SUM(E18:E29)</f>
        <v>109519.0476190476</v>
      </c>
      <c r="F30" s="19">
        <f>SUM(F18:F29)</f>
        <v>109519.0476190476</v>
      </c>
      <c r="G30" s="19">
        <f>SUM(G18:G29)</f>
        <v>109519.0476190476</v>
      </c>
      <c r="H30" s="19">
        <f>SUM(H18:H29)</f>
        <v>109519.0476190476</v>
      </c>
      <c r="I30" s="19">
        <f>SUM(I18:I29)</f>
        <v>109519.0476190476</v>
      </c>
      <c r="J30" s="19">
        <f>SUM(J18:J29)</f>
        <v>109519.0476190476</v>
      </c>
      <c r="K30" s="19">
        <f>SUM(K18:K29)</f>
        <v>117644.0476190476</v>
      </c>
      <c r="L30" s="19">
        <f>SUM(L18:L29)</f>
        <v>109519.0476190476</v>
      </c>
      <c r="M30" s="19">
        <f>SUM(M18:M29)</f>
        <v>109519.0476190476</v>
      </c>
      <c r="N30" s="19">
        <f>SUM(N18:N29)</f>
        <v>109519.0476190476</v>
      </c>
      <c r="O30" s="19">
        <f>SUM(O18:O29)</f>
        <v>109519.0476190476</v>
      </c>
      <c r="P30" s="19">
        <f>SUM(P18:P29)</f>
        <v>109519.0476190476</v>
      </c>
      <c r="Q30" s="19">
        <f>SUM(Q18:Q29)</f>
        <v>109519.0476190476</v>
      </c>
      <c r="R30" s="19">
        <f>SUM(R18:R29)</f>
        <v>109519.0476190476</v>
      </c>
      <c r="S30" s="19">
        <f>SUM(S18:S29)</f>
        <v>109519.0476190476</v>
      </c>
      <c r="T30" s="19">
        <f>SUM(T18:T29)</f>
        <v>109519.0476190476</v>
      </c>
      <c r="U30" s="19">
        <f>SUM(U18:U29)</f>
        <v>109519.0476190476</v>
      </c>
      <c r="V30" s="19">
        <f>SUM(V18:V29)</f>
        <v>109519.0476190476</v>
      </c>
      <c r="W30" s="19">
        <f>SUM(W18:W29)</f>
        <v>109519.0476190476</v>
      </c>
      <c r="X30" s="19">
        <f>SUM(X18:X29)</f>
        <v>109519.0476190476</v>
      </c>
      <c r="Y30" s="19">
        <f>SUM(Y18:Y29)</f>
        <v>109519.0476190476</v>
      </c>
      <c r="Z30" s="19">
        <f>SUMIF($B$13:$Y$13,"Yes",B30:Y30)</f>
        <v>985671.4285714284</v>
      </c>
      <c r="AA30" s="19">
        <f>SUM(B30:M30)</f>
        <v>1322353.571428571</v>
      </c>
      <c r="AB30" s="19">
        <f>SUM(B30:Y30)</f>
        <v>2636582.142857142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20000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20000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20000</v>
      </c>
      <c r="AA36" s="36">
        <f>SUM(B36:M36)</f>
        <v>20000</v>
      </c>
      <c r="AB36" s="36">
        <f>SUM(B36:Y36)</f>
        <v>40000</v>
      </c>
      <c r="AC36" s="73"/>
    </row>
    <row r="37" spans="1:30" hidden="true" outlineLevel="1">
      <c r="A37" s="181" t="str">
        <f>Calculations!$A$4</f>
        <v>Other crops</v>
      </c>
      <c r="B37" s="36">
        <f>N37</f>
        <v>10000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10000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10000</v>
      </c>
      <c r="AA37" s="36">
        <f>SUM(B37:M37)</f>
        <v>10000</v>
      </c>
      <c r="AB37" s="36">
        <f>SUM(B37:Y37)</f>
        <v>20000</v>
      </c>
      <c r="AC37" s="73"/>
    </row>
    <row r="38" spans="1:30" hidden="true" outlineLevel="1">
      <c r="A38" s="181" t="str">
        <f>Calculations!$A$5</f>
        <v>Other crops</v>
      </c>
      <c r="B38" s="36">
        <f>N38</f>
        <v>10000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10000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10000</v>
      </c>
      <c r="AA38" s="36">
        <f>SUM(B38:M38)</f>
        <v>10000</v>
      </c>
      <c r="AB38" s="36">
        <f>SUM(B38:Y38)</f>
        <v>20000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480000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480000</v>
      </c>
      <c r="Z72" s="46">
        <f>SUMIF($B$13:$Y$13,"Yes",B72:Y72)</f>
        <v>0</v>
      </c>
      <c r="AA72" s="46">
        <f>SUM(B72:M72)</f>
        <v>480000</v>
      </c>
      <c r="AB72" s="46">
        <f>SUM(B72:Y72)</f>
        <v>960000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760.4166666666666</v>
      </c>
      <c r="C74" s="46">
        <f>SUM(Calculations!$Q$14:$Q$16)/12</f>
        <v>760.4166666666666</v>
      </c>
      <c r="D74" s="46">
        <f>SUM(Calculations!$Q$14:$Q$16)/12</f>
        <v>760.4166666666666</v>
      </c>
      <c r="E74" s="46">
        <f>SUM(Calculations!$Q$14:$Q$16)/12</f>
        <v>760.4166666666666</v>
      </c>
      <c r="F74" s="46">
        <f>SUM(Calculations!$Q$14:$Q$16)/12</f>
        <v>760.4166666666666</v>
      </c>
      <c r="G74" s="46">
        <f>SUM(Calculations!$Q$14:$Q$16)/12</f>
        <v>760.4166666666666</v>
      </c>
      <c r="H74" s="46">
        <f>SUM(Calculations!$Q$14:$Q$16)/12</f>
        <v>760.4166666666666</v>
      </c>
      <c r="I74" s="46">
        <f>SUM(Calculations!$Q$14:$Q$16)/12</f>
        <v>760.4166666666666</v>
      </c>
      <c r="J74" s="46">
        <f>SUM(Calculations!$Q$14:$Q$16)/12</f>
        <v>760.4166666666666</v>
      </c>
      <c r="K74" s="46">
        <f>SUM(Calculations!$Q$14:$Q$16)/12</f>
        <v>760.4166666666666</v>
      </c>
      <c r="L74" s="46">
        <f>SUM(Calculations!$Q$14:$Q$16)/12</f>
        <v>760.4166666666666</v>
      </c>
      <c r="M74" s="46">
        <f>SUM(Calculations!$Q$14:$Q$16)/12</f>
        <v>760.4166666666666</v>
      </c>
      <c r="N74" s="46">
        <f>SUM(Calculations!$Q$14:$Q$16)/12</f>
        <v>760.4166666666666</v>
      </c>
      <c r="O74" s="46">
        <f>SUM(Calculations!$Q$14:$Q$16)/12</f>
        <v>760.4166666666666</v>
      </c>
      <c r="P74" s="46">
        <f>SUM(Calculations!$Q$14:$Q$16)/12</f>
        <v>760.4166666666666</v>
      </c>
      <c r="Q74" s="46">
        <f>SUM(Calculations!$Q$14:$Q$16)/12</f>
        <v>760.4166666666666</v>
      </c>
      <c r="R74" s="46">
        <f>SUM(Calculations!$Q$14:$Q$16)/12</f>
        <v>760.4166666666666</v>
      </c>
      <c r="S74" s="46">
        <f>SUM(Calculations!$Q$14:$Q$16)/12</f>
        <v>760.4166666666666</v>
      </c>
      <c r="T74" s="46">
        <f>SUM(Calculations!$Q$14:$Q$16)/12</f>
        <v>760.4166666666666</v>
      </c>
      <c r="U74" s="46">
        <f>SUM(Calculations!$Q$14:$Q$16)/12</f>
        <v>760.4166666666666</v>
      </c>
      <c r="V74" s="46">
        <f>SUM(Calculations!$Q$14:$Q$16)/12</f>
        <v>760.4166666666666</v>
      </c>
      <c r="W74" s="46">
        <f>SUM(Calculations!$Q$14:$Q$16)/12</f>
        <v>760.4166666666666</v>
      </c>
      <c r="X74" s="46">
        <f>SUM(Calculations!$Q$14:$Q$16)/12</f>
        <v>760.4166666666666</v>
      </c>
      <c r="Y74" s="46">
        <f>SUM(Calculations!$Q$14:$Q$16)/12</f>
        <v>760.4166666666666</v>
      </c>
      <c r="Z74" s="46">
        <f>SUMIF($B$13:$Y$13,"Yes",B74:Y74)</f>
        <v>6843.750000000001</v>
      </c>
      <c r="AA74" s="46">
        <f>SUM(B74:M74)</f>
        <v>9125</v>
      </c>
      <c r="AB74" s="46">
        <f>SUM(B74:Y74)</f>
        <v>18250</v>
      </c>
    </row>
    <row r="75" spans="1:30">
      <c r="A75" s="16" t="s">
        <v>47</v>
      </c>
      <c r="B75" s="46">
        <f>SUM(Calculations!$R$14:$R$16)/12</f>
        <v>35.55555555555556</v>
      </c>
      <c r="C75" s="46">
        <f>SUM(Calculations!$R$14:$R$16)/12</f>
        <v>35.55555555555556</v>
      </c>
      <c r="D75" s="46">
        <f>SUM(Calculations!$R$14:$R$16)/12</f>
        <v>35.55555555555556</v>
      </c>
      <c r="E75" s="46">
        <f>SUM(Calculations!$R$14:$R$16)/12</f>
        <v>35.55555555555556</v>
      </c>
      <c r="F75" s="46">
        <f>SUM(Calculations!$R$14:$R$16)/12</f>
        <v>35.55555555555556</v>
      </c>
      <c r="G75" s="46">
        <f>SUM(Calculations!$R$14:$R$16)/12</f>
        <v>35.55555555555556</v>
      </c>
      <c r="H75" s="46">
        <f>SUM(Calculations!$R$14:$R$16)/12</f>
        <v>35.55555555555556</v>
      </c>
      <c r="I75" s="46">
        <f>SUM(Calculations!$R$14:$R$16)/12</f>
        <v>35.55555555555556</v>
      </c>
      <c r="J75" s="46">
        <f>SUM(Calculations!$R$14:$R$16)/12</f>
        <v>35.55555555555556</v>
      </c>
      <c r="K75" s="46">
        <f>SUM(Calculations!$R$14:$R$16)/12</f>
        <v>35.55555555555556</v>
      </c>
      <c r="L75" s="46">
        <f>SUM(Calculations!$R$14:$R$16)/12</f>
        <v>35.55555555555556</v>
      </c>
      <c r="M75" s="46">
        <f>SUM(Calculations!$R$14:$R$16)/12</f>
        <v>35.55555555555556</v>
      </c>
      <c r="N75" s="46">
        <f>SUM(Calculations!$R$14:$R$16)/12</f>
        <v>35.55555555555556</v>
      </c>
      <c r="O75" s="46">
        <f>SUM(Calculations!$R$14:$R$16)/12</f>
        <v>35.55555555555556</v>
      </c>
      <c r="P75" s="46">
        <f>SUM(Calculations!$R$14:$R$16)/12</f>
        <v>35.55555555555556</v>
      </c>
      <c r="Q75" s="46">
        <f>SUM(Calculations!$R$14:$R$16)/12</f>
        <v>35.55555555555556</v>
      </c>
      <c r="R75" s="46">
        <f>SUM(Calculations!$R$14:$R$16)/12</f>
        <v>35.55555555555556</v>
      </c>
      <c r="S75" s="46">
        <f>SUM(Calculations!$R$14:$R$16)/12</f>
        <v>35.55555555555556</v>
      </c>
      <c r="T75" s="46">
        <f>SUM(Calculations!$R$14:$R$16)/12</f>
        <v>35.55555555555556</v>
      </c>
      <c r="U75" s="46">
        <f>SUM(Calculations!$R$14:$R$16)/12</f>
        <v>35.55555555555556</v>
      </c>
      <c r="V75" s="46">
        <f>SUM(Calculations!$R$14:$R$16)/12</f>
        <v>35.55555555555556</v>
      </c>
      <c r="W75" s="46">
        <f>SUM(Calculations!$R$14:$R$16)/12</f>
        <v>35.55555555555556</v>
      </c>
      <c r="X75" s="46">
        <f>SUM(Calculations!$R$14:$R$16)/12</f>
        <v>35.55555555555556</v>
      </c>
      <c r="Y75" s="46">
        <f>SUM(Calculations!$R$14:$R$16)/12</f>
        <v>35.55555555555556</v>
      </c>
      <c r="Z75" s="46">
        <f>SUMIF($B$13:$Y$13,"Yes",B75:Y75)</f>
        <v>319.9999999999999</v>
      </c>
      <c r="AA75" s="46">
        <f>SUM(B75:M75)</f>
        <v>426.6666666666666</v>
      </c>
      <c r="AB75" s="46">
        <f>SUM(B75:Y75)</f>
        <v>853.3333333333331</v>
      </c>
    </row>
    <row r="76" spans="1:30">
      <c r="A76" s="16" t="s">
        <v>48</v>
      </c>
      <c r="B76" s="46">
        <f>SUM(Calculations!$S$14:$S$16)/12</f>
        <v>285.8709273182957</v>
      </c>
      <c r="C76" s="46">
        <f>SUM(Calculations!$S$14:$S$16)/12</f>
        <v>285.8709273182957</v>
      </c>
      <c r="D76" s="46">
        <f>SUM(Calculations!$S$14:$S$16)/12</f>
        <v>285.8709273182957</v>
      </c>
      <c r="E76" s="46">
        <f>SUM(Calculations!$S$14:$S$16)/12</f>
        <v>285.8709273182957</v>
      </c>
      <c r="F76" s="46">
        <f>SUM(Calculations!$S$14:$S$16)/12</f>
        <v>285.8709273182957</v>
      </c>
      <c r="G76" s="46">
        <f>SUM(Calculations!$S$14:$S$16)/12</f>
        <v>285.8709273182957</v>
      </c>
      <c r="H76" s="46">
        <f>SUM(Calculations!$S$14:$S$16)/12</f>
        <v>285.8709273182957</v>
      </c>
      <c r="I76" s="46">
        <f>SUM(Calculations!$S$14:$S$16)/12</f>
        <v>285.8709273182957</v>
      </c>
      <c r="J76" s="46">
        <f>SUM(Calculations!$S$14:$S$16)/12</f>
        <v>285.8709273182957</v>
      </c>
      <c r="K76" s="46">
        <f>SUM(Calculations!$S$14:$S$16)/12</f>
        <v>285.8709273182957</v>
      </c>
      <c r="L76" s="46">
        <f>SUM(Calculations!$S$14:$S$16)/12</f>
        <v>285.8709273182957</v>
      </c>
      <c r="M76" s="46">
        <f>SUM(Calculations!$S$14:$S$16)/12</f>
        <v>285.8709273182957</v>
      </c>
      <c r="N76" s="46">
        <f>SUM(Calculations!$S$14:$S$16)/12</f>
        <v>285.8709273182957</v>
      </c>
      <c r="O76" s="46">
        <f>SUM(Calculations!$S$14:$S$16)/12</f>
        <v>285.8709273182957</v>
      </c>
      <c r="P76" s="46">
        <f>SUM(Calculations!$S$14:$S$16)/12</f>
        <v>285.8709273182957</v>
      </c>
      <c r="Q76" s="46">
        <f>SUM(Calculations!$S$14:$S$16)/12</f>
        <v>285.8709273182957</v>
      </c>
      <c r="R76" s="46">
        <f>SUM(Calculations!$S$14:$S$16)/12</f>
        <v>285.8709273182957</v>
      </c>
      <c r="S76" s="46">
        <f>SUM(Calculations!$S$14:$S$16)/12</f>
        <v>285.8709273182957</v>
      </c>
      <c r="T76" s="46">
        <f>SUM(Calculations!$S$14:$S$16)/12</f>
        <v>285.8709273182957</v>
      </c>
      <c r="U76" s="46">
        <f>SUM(Calculations!$S$14:$S$16)/12</f>
        <v>285.8709273182957</v>
      </c>
      <c r="V76" s="46">
        <f>SUM(Calculations!$S$14:$S$16)/12</f>
        <v>285.8709273182957</v>
      </c>
      <c r="W76" s="46">
        <f>SUM(Calculations!$S$14:$S$16)/12</f>
        <v>285.8709273182957</v>
      </c>
      <c r="X76" s="46">
        <f>SUM(Calculations!$S$14:$S$16)/12</f>
        <v>285.8709273182957</v>
      </c>
      <c r="Y76" s="46">
        <f>SUM(Calculations!$S$14:$S$16)/12</f>
        <v>285.8709273182957</v>
      </c>
      <c r="Z76" s="46">
        <f>SUMIF($B$13:$Y$13,"Yes",B76:Y76)</f>
        <v>2572.838345864662</v>
      </c>
      <c r="AA76" s="46">
        <f>SUM(B76:M76)</f>
        <v>3430.451127819549</v>
      </c>
      <c r="AB76" s="46">
        <f>SUM(B76:Y76)</f>
        <v>6860.902255639098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135000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960000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960000</v>
      </c>
      <c r="AA80" s="46">
        <f>SUM(B80:M80)</f>
        <v>960000</v>
      </c>
      <c r="AB80" s="46">
        <f>SUM(B80:Y80)</f>
        <v>960000</v>
      </c>
    </row>
    <row r="81" spans="1:30">
      <c r="A81" s="43" t="s">
        <v>51</v>
      </c>
      <c r="B81" s="46">
        <f>(SUM($AA$18:$AA$29)-SUM($AA$36,$AA$42,$AA$48,$AA$54,$AA$60,$AA$66,$AA$72:$AA$79))*Parameters!$B$37/12</f>
        <v>20979.04845446951</v>
      </c>
      <c r="C81" s="46">
        <f>(SUM($AA$18:$AA$29)-SUM($AA$36,$AA$42,$AA$48,$AA$54,$AA$60,$AA$66,$AA$72:$AA$79))*Parameters!$B$37/12</f>
        <v>20979.04845446951</v>
      </c>
      <c r="D81" s="46">
        <f>(SUM($AA$18:$AA$29)-SUM($AA$36,$AA$42,$AA$48,$AA$54,$AA$60,$AA$66,$AA$72:$AA$79))*Parameters!$B$37/12</f>
        <v>20979.04845446951</v>
      </c>
      <c r="E81" s="46">
        <f>(SUM($AA$18:$AA$29)-SUM($AA$36,$AA$42,$AA$48,$AA$54,$AA$60,$AA$66,$AA$72:$AA$79))*Parameters!$B$37/12</f>
        <v>20979.04845446951</v>
      </c>
      <c r="F81" s="46">
        <f>(SUM($AA$18:$AA$29)-SUM($AA$36,$AA$42,$AA$48,$AA$54,$AA$60,$AA$66,$AA$72:$AA$79))*Parameters!$B$37/12</f>
        <v>20979.04845446951</v>
      </c>
      <c r="G81" s="46">
        <f>(SUM($AA$18:$AA$29)-SUM($AA$36,$AA$42,$AA$48,$AA$54,$AA$60,$AA$66,$AA$72:$AA$79))*Parameters!$B$37/12</f>
        <v>20979.04845446951</v>
      </c>
      <c r="H81" s="46">
        <f>(SUM($AA$18:$AA$29)-SUM($AA$36,$AA$42,$AA$48,$AA$54,$AA$60,$AA$66,$AA$72:$AA$79))*Parameters!$B$37/12</f>
        <v>20979.04845446951</v>
      </c>
      <c r="I81" s="46">
        <f>(SUM($AA$18:$AA$29)-SUM($AA$36,$AA$42,$AA$48,$AA$54,$AA$60,$AA$66,$AA$72:$AA$79))*Parameters!$B$37/12</f>
        <v>20979.04845446951</v>
      </c>
      <c r="J81" s="46">
        <f>(SUM($AA$18:$AA$29)-SUM($AA$36,$AA$42,$AA$48,$AA$54,$AA$60,$AA$66,$AA$72:$AA$79))*Parameters!$B$37/12</f>
        <v>20979.04845446951</v>
      </c>
      <c r="K81" s="46">
        <f>(SUM($AA$18:$AA$29)-SUM($AA$36,$AA$42,$AA$48,$AA$54,$AA$60,$AA$66,$AA$72:$AA$79))*Parameters!$B$37/12</f>
        <v>20979.04845446951</v>
      </c>
      <c r="L81" s="46">
        <f>(SUM($AA$18:$AA$29)-SUM($AA$36,$AA$42,$AA$48,$AA$54,$AA$60,$AA$66,$AA$72:$AA$79))*Parameters!$B$37/12</f>
        <v>20979.04845446951</v>
      </c>
      <c r="M81" s="46">
        <f>(SUM($AA$18:$AA$29)-SUM($AA$36,$AA$42,$AA$48,$AA$54,$AA$60,$AA$66,$AA$72:$AA$79))*Parameters!$B$37/12</f>
        <v>20979.04845446951</v>
      </c>
      <c r="N81" s="46">
        <f>(SUM($AA$18:$AA$29)-SUM($AA$36,$AA$42,$AA$48,$AA$54,$AA$60,$AA$66,$AA$72:$AA$79))*Parameters!$B$37/12</f>
        <v>20979.04845446951</v>
      </c>
      <c r="O81" s="46">
        <f>(SUM($AA$18:$AA$29)-SUM($AA$36,$AA$42,$AA$48,$AA$54,$AA$60,$AA$66,$AA$72:$AA$79))*Parameters!$B$37/12</f>
        <v>20979.04845446951</v>
      </c>
      <c r="P81" s="46">
        <f>(SUM($AA$18:$AA$29)-SUM($AA$36,$AA$42,$AA$48,$AA$54,$AA$60,$AA$66,$AA$72:$AA$79))*Parameters!$B$37/12</f>
        <v>20979.04845446951</v>
      </c>
      <c r="Q81" s="46">
        <f>(SUM($AA$18:$AA$29)-SUM($AA$36,$AA$42,$AA$48,$AA$54,$AA$60,$AA$66,$AA$72:$AA$79))*Parameters!$B$37/12</f>
        <v>20979.04845446951</v>
      </c>
      <c r="R81" s="46">
        <f>(SUM($AA$18:$AA$29)-SUM($AA$36,$AA$42,$AA$48,$AA$54,$AA$60,$AA$66,$AA$72:$AA$79))*Parameters!$B$37/12</f>
        <v>20979.04845446951</v>
      </c>
      <c r="S81" s="46">
        <f>(SUM($AA$18:$AA$29)-SUM($AA$36,$AA$42,$AA$48,$AA$54,$AA$60,$AA$66,$AA$72:$AA$79))*Parameters!$B$37/12</f>
        <v>20979.04845446951</v>
      </c>
      <c r="T81" s="46">
        <f>(SUM($AA$18:$AA$29)-SUM($AA$36,$AA$42,$AA$48,$AA$54,$AA$60,$AA$66,$AA$72:$AA$79))*Parameters!$B$37/12</f>
        <v>20979.04845446951</v>
      </c>
      <c r="U81" s="46">
        <f>(SUM($AA$18:$AA$29)-SUM($AA$36,$AA$42,$AA$48,$AA$54,$AA$60,$AA$66,$AA$72:$AA$79))*Parameters!$B$37/12</f>
        <v>20979.04845446951</v>
      </c>
      <c r="V81" s="46">
        <f>(SUM($AA$18:$AA$29)-SUM($AA$36,$AA$42,$AA$48,$AA$54,$AA$60,$AA$66,$AA$72:$AA$79))*Parameters!$B$37/12</f>
        <v>20979.04845446951</v>
      </c>
      <c r="W81" s="46">
        <f>(SUM($AA$18:$AA$29)-SUM($AA$36,$AA$42,$AA$48,$AA$54,$AA$60,$AA$66,$AA$72:$AA$79))*Parameters!$B$37/12</f>
        <v>20979.04845446951</v>
      </c>
      <c r="X81" s="46">
        <f>(SUM($AA$18:$AA$29)-SUM($AA$36,$AA$42,$AA$48,$AA$54,$AA$60,$AA$66,$AA$72:$AA$79))*Parameters!$B$37/12</f>
        <v>20979.04845446951</v>
      </c>
      <c r="Y81" s="46">
        <f>(SUM($AA$18:$AA$29)-SUM($AA$36,$AA$42,$AA$48,$AA$54,$AA$60,$AA$66,$AA$72:$AA$79))*Parameters!$B$37/12</f>
        <v>20979.04845446951</v>
      </c>
      <c r="Z81" s="46">
        <f>SUMIF($B$13:$Y$13,"Yes",B81:Y81)</f>
        <v>188811.4360902256</v>
      </c>
      <c r="AA81" s="46">
        <f>SUM(B81:M81)</f>
        <v>251748.5814536341</v>
      </c>
      <c r="AB81" s="46">
        <f>SUM(B81:Y81)</f>
        <v>503497.1629072685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57060.89160401002</v>
      </c>
      <c r="C88" s="19">
        <f>SUM(C72:C82,C66,C60,C54,C48,C42,C36)</f>
        <v>37060.89160401002</v>
      </c>
      <c r="D88" s="19">
        <f>SUM(D72:D82,D66,D60,D54,D48,D42,D36)</f>
        <v>37060.89160401002</v>
      </c>
      <c r="E88" s="19">
        <f>SUM(E72:E82,E66,E60,E54,E48,E42,E36)</f>
        <v>37060.89160401002</v>
      </c>
      <c r="F88" s="19">
        <f>SUM(F72:F82,F66,F60,F54,F48,F42,F36)</f>
        <v>37060.89160401002</v>
      </c>
      <c r="G88" s="19">
        <f>SUM(G72:G82,G66,G60,G54,G48,G42,G36)</f>
        <v>997060.89160401</v>
      </c>
      <c r="H88" s="19">
        <f>SUM(H72:H82,H66,H60,H54,H48,H42,H36)</f>
        <v>37060.89160401002</v>
      </c>
      <c r="I88" s="19">
        <f>SUM(I72:I82,I66,I60,I54,I48,I42,I36)</f>
        <v>37060.89160401002</v>
      </c>
      <c r="J88" s="19">
        <f>SUM(J72:J82,J66,J60,J54,J48,J42,J36)</f>
        <v>37060.89160401002</v>
      </c>
      <c r="K88" s="19">
        <f>SUM(K72:K82,K66,K60,K54,K48,K42,K36)</f>
        <v>37060.89160401002</v>
      </c>
      <c r="L88" s="19">
        <f>SUM(L72:L82,L66,L60,L54,L48,L42,L36)</f>
        <v>37060.89160401002</v>
      </c>
      <c r="M88" s="19">
        <f>SUM(M72:M82,M66,M60,M54,M48,M42,M36)</f>
        <v>517060.89160401</v>
      </c>
      <c r="N88" s="19">
        <f>SUM(N72:N82,N66,N60,N54,N48,N42,N36)</f>
        <v>57060.89160401002</v>
      </c>
      <c r="O88" s="19">
        <f>SUM(O72:O82,O66,O60,O54,O48,O42,O36)</f>
        <v>37060.89160401002</v>
      </c>
      <c r="P88" s="19">
        <f>SUM(P72:P82,P66,P60,P54,P48,P42,P36)</f>
        <v>37060.89160401002</v>
      </c>
      <c r="Q88" s="19">
        <f>SUM(Q72:Q82,Q66,Q60,Q54,Q48,Q42,Q36)</f>
        <v>37060.89160401002</v>
      </c>
      <c r="R88" s="19">
        <f>SUM(R72:R82,R66,R60,R54,R48,R42,R36)</f>
        <v>37060.89160401002</v>
      </c>
      <c r="S88" s="19">
        <f>SUM(S72:S82,S66,S60,S54,S48,S42,S36)</f>
        <v>37060.89160401002</v>
      </c>
      <c r="T88" s="19">
        <f>SUM(T72:T82,T66,T60,T54,T48,T42,T36)</f>
        <v>37060.89160401002</v>
      </c>
      <c r="U88" s="19">
        <f>SUM(U72:U82,U66,U60,U54,U48,U42,U36)</f>
        <v>37060.89160401002</v>
      </c>
      <c r="V88" s="19">
        <f>SUM(V72:V82,V66,V60,V54,V48,V42,V36)</f>
        <v>37060.89160401002</v>
      </c>
      <c r="W88" s="19">
        <f>SUM(W72:W82,W66,W60,W54,W48,W42,W36)</f>
        <v>37060.89160401002</v>
      </c>
      <c r="X88" s="19">
        <f>SUM(X72:X82,X66,X60,X54,X48,X42,X36)</f>
        <v>37060.89160401002</v>
      </c>
      <c r="Y88" s="19">
        <f>SUM(Y72:Y82,Y66,Y60,Y54,Y48,Y42,Y36)</f>
        <v>517060.89160401</v>
      </c>
      <c r="Z88" s="19">
        <f>SUMIF($B$13:$Y$13,"Yes",B88:Y88)</f>
        <v>1313548.02443609</v>
      </c>
      <c r="AA88" s="19">
        <f>SUM(B88:M88)</f>
        <v>1904730.69924812</v>
      </c>
      <c r="AB88" s="19">
        <f>SUM(B88:Y88)</f>
        <v>2849461.39849624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22500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10000000</v>
      </c>
    </row>
    <row r="99" spans="1:30">
      <c r="A99" t="s">
        <v>65</v>
      </c>
      <c r="B99" s="36">
        <f>Inputs!B46</f>
        <v>1500000</v>
      </c>
    </row>
    <row r="100" spans="1:30" customHeight="1" ht="15.75">
      <c r="A100" s="18" t="s">
        <v>66</v>
      </c>
      <c r="B100" s="37">
        <f>Inputs!B48</f>
        <v>8000000</v>
      </c>
    </row>
    <row r="101" spans="1:30" customHeight="1" ht="15.75">
      <c r="A101" s="1" t="s">
        <v>67</v>
      </c>
      <c r="B101" s="19">
        <f>SUM(B94:B100)</f>
        <v>19532500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500000</v>
      </c>
    </row>
    <row r="107" spans="1:30" customHeight="1" ht="15.75">
      <c r="A107" s="1" t="s">
        <v>72</v>
      </c>
      <c r="B107" s="19">
        <f>SUM(B104:B106)</f>
        <v>500000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89</v>
      </c>
      <c r="B8" s="16"/>
      <c r="C8" s="143">
        <v>5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50</v>
      </c>
      <c r="D19" s="145">
        <v>40</v>
      </c>
      <c r="E19" s="20"/>
      <c r="F19" s="145" t="s">
        <v>92</v>
      </c>
      <c r="G19" s="20"/>
      <c r="H19" s="20"/>
      <c r="I19" s="145" t="s">
        <v>109</v>
      </c>
      <c r="J19" s="145">
        <v>5</v>
      </c>
      <c r="K19" s="145">
        <v>0</v>
      </c>
      <c r="L19" s="25">
        <v>9</v>
      </c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5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105000</v>
      </c>
    </row>
    <row r="31" spans="1:48">
      <c r="A31" s="5" t="s">
        <v>116</v>
      </c>
      <c r="B31" s="158">
        <v>15000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 t="s">
        <v>122</v>
      </c>
      <c r="B35" s="159">
        <v>960000</v>
      </c>
      <c r="C35" s="145" t="s">
        <v>123</v>
      </c>
      <c r="D35" s="49">
        <f>IFERROR(VLOOKUP(C35,Parameters!$C$79:$D$90,2,0),"")</f>
        <v>7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126</v>
      </c>
    </row>
    <row r="41" spans="1:48">
      <c r="A41" s="55" t="s">
        <v>127</v>
      </c>
      <c r="B41" s="140">
        <v>480000</v>
      </c>
    </row>
    <row r="42" spans="1:48">
      <c r="A42" s="55" t="s">
        <v>128</v>
      </c>
      <c r="B42" s="139" t="s">
        <v>129</v>
      </c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92</v>
      </c>
    </row>
    <row r="45" spans="1:48">
      <c r="A45" s="56" t="s">
        <v>133</v>
      </c>
      <c r="B45" s="161">
        <v>10000000</v>
      </c>
    </row>
    <row r="46" spans="1:48" customHeight="1" ht="30">
      <c r="A46" s="57" t="s">
        <v>134</v>
      </c>
      <c r="B46" s="161">
        <v>1500000</v>
      </c>
    </row>
    <row r="47" spans="1:48" customHeight="1" ht="30">
      <c r="A47" s="57" t="s">
        <v>135</v>
      </c>
      <c r="B47" s="161">
        <v>0</v>
      </c>
    </row>
    <row r="48" spans="1:48" customHeight="1" ht="30">
      <c r="A48" s="57" t="s">
        <v>136</v>
      </c>
      <c r="B48" s="161">
        <v>8000000</v>
      </c>
    </row>
    <row r="49" spans="1:48" customHeight="1" ht="30">
      <c r="A49" s="57" t="s">
        <v>137</v>
      </c>
      <c r="B49" s="161">
        <v>10000</v>
      </c>
    </row>
    <row r="50" spans="1:48">
      <c r="A50" s="43"/>
      <c r="B50" s="36"/>
    </row>
    <row r="51" spans="1:48">
      <c r="A51" s="58" t="s">
        <v>138</v>
      </c>
      <c r="B51" s="161">
        <v>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147</v>
      </c>
      <c r="C65" s="10" t="s">
        <v>148</v>
      </c>
    </row>
    <row r="66" spans="1:48">
      <c r="A66" s="142" t="s">
        <v>129</v>
      </c>
      <c r="B66" s="159">
        <v>1983838</v>
      </c>
      <c r="C66" s="163">
        <v>2013078</v>
      </c>
      <c r="D66" s="49">
        <f>INDEX(Parameters!$D$79:$D$90,MATCH(Inputs!A66,Parameters!$C$79:$C$90,0))</f>
        <v>1</v>
      </c>
    </row>
    <row r="67" spans="1:48">
      <c r="A67" s="143" t="s">
        <v>149</v>
      </c>
      <c r="B67" s="157">
        <v>1109084</v>
      </c>
      <c r="C67" s="165">
        <v>930899</v>
      </c>
      <c r="D67" s="49">
        <f>INDEX(Parameters!$D$79:$D$90,MATCH(Inputs!A67,Parameters!$C$79:$C$90,0))</f>
        <v>12</v>
      </c>
    </row>
    <row r="68" spans="1:48">
      <c r="A68" s="143" t="s">
        <v>150</v>
      </c>
      <c r="B68" s="157">
        <v>340067</v>
      </c>
      <c r="C68" s="165">
        <v>346668</v>
      </c>
      <c r="D68" s="49">
        <f>INDEX(Parameters!$D$79:$D$90,MATCH(Inputs!A68,Parameters!$C$79:$C$90,0))</f>
        <v>11</v>
      </c>
    </row>
    <row r="69" spans="1:48">
      <c r="A69" s="143" t="s">
        <v>151</v>
      </c>
      <c r="B69" s="157">
        <v>355492</v>
      </c>
      <c r="C69" s="165">
        <v>348919</v>
      </c>
      <c r="D69" s="49">
        <f>INDEX(Parameters!$D$79:$D$90,MATCH(Inputs!A69,Parameters!$C$79:$C$90,0))</f>
        <v>10</v>
      </c>
    </row>
    <row r="70" spans="1:48">
      <c r="A70" s="143" t="s">
        <v>152</v>
      </c>
      <c r="B70" s="157">
        <v>405352</v>
      </c>
      <c r="C70" s="165">
        <v>454386</v>
      </c>
      <c r="D70" s="49">
        <f>INDEX(Parameters!$D$79:$D$90,MATCH(Inputs!A70,Parameters!$C$79:$C$90,0))</f>
        <v>9</v>
      </c>
    </row>
    <row r="71" spans="1:48">
      <c r="A71" s="144" t="s">
        <v>153</v>
      </c>
      <c r="B71" s="158">
        <v>638013</v>
      </c>
      <c r="C71" s="167">
        <v>704162</v>
      </c>
      <c r="D71" s="49">
        <f>INDEX(Parameters!$D$79:$D$90,MATCH(Inputs!A71,Parameters!$C$79:$C$90,0))</f>
        <v>8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16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500000</v>
      </c>
    </row>
    <row r="82" spans="1:48">
      <c r="A82" t="s">
        <v>163</v>
      </c>
      <c r="B82" s="161">
        <v>20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3</v>
      </c>
    </row>
    <row r="85" spans="1:48">
      <c r="A85" t="s">
        <v>167</v>
      </c>
      <c r="B85" s="169">
        <v>24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43132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10000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43132</v>
      </c>
      <c r="C5" s="39">
        <f>IFERROR(DATE(YEAR(B5),MONTH(B5)+ROUND(T5/2,0),DAY(B5)),B5)</f>
        <v>43132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5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10000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50</v>
      </c>
      <c r="E14" s="16">
        <f>Inputs!D19</f>
        <v>40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1.083333333333333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0.4887218045112781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54228.57142857141</v>
      </c>
      <c r="Q14" s="63">
        <f>IFERROR(D14*INDEX(Parameters!$A$22:$P$29,MATCH(Calculations!$A14,Parameters!$A$22:$A$29,0),MATCH(Parameters!$L$22,Parameters!$A$22:$P$22,0))*IF(Inputs!I19="Always",1,IF(Inputs!I19="Sometimes",0.5,0))*365,"")</f>
        <v>9125</v>
      </c>
      <c r="R14" s="63">
        <f>IFERROR(D14*INDEX(Parameters!$A$22:$P$29,MATCH(Calculations!$A14,Parameters!$A$22:$A$29,0),MATCH(Parameters!$M$22,Parameters!$A$22:$P$22,0)),"")</f>
        <v>426.6666666666667</v>
      </c>
      <c r="S14" s="63">
        <f>IFERROR(D14*INDEX(Parameters!$A$22:$P$29,MATCH(Calculations!$A14,Parameters!$A$22:$A$29,0),MATCH(Parameters!$N$22,Parameters!$A$22:$P$22,0)),"")</f>
        <v>3430.451127819548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43405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8124.999999999999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Rongai</v>
      </c>
    </row>
    <row r="33" spans="1:52">
      <c r="A33">
        <v>1</v>
      </c>
      <c r="B33" s="128">
        <f>G34</f>
        <v>43180</v>
      </c>
      <c r="C33" s="27">
        <f>IF(B33&lt;&gt;"",IF(COUNT($A$33:A33)&lt;=$G$39,0,$G$41)+IF(COUNT($A$33:A33)&lt;=$G$40,0,$G$42),0)</f>
        <v>70833.33333333333</v>
      </c>
      <c r="D33" s="170">
        <f>IFERROR(DATE(YEAR(B33),MONTH(B33),1)," ")</f>
        <v>43160</v>
      </c>
      <c r="F33" t="s">
        <v>159</v>
      </c>
      <c r="G33" s="128">
        <f>IF(Inputs!B79="","",DATE(YEAR(Inputs!B79),MONTH(Inputs!B79),DAY(Inputs!B79)))</f>
        <v>43152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43211</v>
      </c>
      <c r="C34" s="27">
        <f>IF(B34&lt;&gt;"",IF(COUNT($A$33:A34)&lt;=$G$39,0,$G$41)+IF(COUNT($A$33:A34)&lt;=$G$40,0,$G$42),0)</f>
        <v>70833.33333333333</v>
      </c>
      <c r="D34" s="170">
        <f>IFERROR(DATE(YEAR(B34),MONTH(B34),1)," ")</f>
        <v>43191</v>
      </c>
      <c r="F34" t="s">
        <v>160</v>
      </c>
      <c r="G34" s="128">
        <f>IF(Inputs!B80="","",DATE(YEAR(Inputs!B80),MONTH(Inputs!B80),DAY(Inputs!B80)))</f>
        <v>43180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43241</v>
      </c>
      <c r="C35" s="27">
        <f>IF(B35&lt;&gt;"",IF(COUNT($A$33:A35)&lt;=$G$39,0,$G$41)+IF(COUNT($A$33:A35)&lt;=$G$40,0,$G$42),0)</f>
        <v>70833.33333333333</v>
      </c>
      <c r="D35" s="170">
        <f>IFERROR(DATE(YEAR(B35),MONTH(B35),1)," ")</f>
        <v>43221</v>
      </c>
      <c r="F35" t="s">
        <v>162</v>
      </c>
      <c r="G35" s="27">
        <f>Inputs!B81</f>
        <v>500000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43272</v>
      </c>
      <c r="C36" s="27">
        <f>IF(B36&lt;&gt;"",IF(COUNT($A$33:A36)&lt;=$G$39,0,$G$41)+IF(COUNT($A$33:A36)&lt;=$G$40,0,$G$42),0)</f>
        <v>70833.33333333333</v>
      </c>
      <c r="D36" s="170">
        <f>IFERROR(DATE(YEAR(B36),MONTH(B36),1)," ")</f>
        <v>43252</v>
      </c>
      <c r="F36" t="s">
        <v>163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43302</v>
      </c>
      <c r="C37" s="27">
        <f>IF(B37&lt;&gt;"",IF(COUNT($A$33:A37)&lt;=$G$39,0,$G$41)+IF(COUNT($A$33:A37)&lt;=$G$40,0,$G$42),0)</f>
        <v>70833.33333333333</v>
      </c>
      <c r="D37" s="170">
        <f>IFERROR(DATE(YEAR(B37),MONTH(B37),1)," ")</f>
        <v>43282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43333</v>
      </c>
      <c r="C38" s="27">
        <f>IF(B38&lt;&gt;"",IF(COUNT($A$33:A38)&lt;=$G$39,0,$G$41)+IF(COUNT($A$33:A38)&lt;=$G$40,0,$G$42),0)</f>
        <v>70833.33333333333</v>
      </c>
      <c r="D38" s="170">
        <f>IFERROR(DATE(YEAR(B38),MONTH(B38),1)," ")</f>
        <v>43313</v>
      </c>
      <c r="F38" t="s">
        <v>225</v>
      </c>
      <c r="G38" s="27">
        <f>IFERROR(Inputs!B85/Inputs!B84,"")</f>
        <v>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43364</v>
      </c>
      <c r="C39" s="27">
        <f>IF(B39&lt;&gt;"",IF(COUNT($A$33:A39)&lt;=$G$39,0,$G$41)+IF(COUNT($A$33:A39)&lt;=$G$40,0,$G$42),0)</f>
        <v>70833.33333333333</v>
      </c>
      <c r="D39" s="170">
        <f>IFERROR(DATE(YEAR(B39),MONTH(B39),1)," ")</f>
        <v>43344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43394</v>
      </c>
      <c r="C40" s="27">
        <f>IF(B40&lt;&gt;"",IF(COUNT($A$33:A40)&lt;=$G$39,0,$G$41)+IF(COUNT($A$33:A40)&lt;=$G$40,0,$G$42),0)</f>
        <v>70833.33333333333</v>
      </c>
      <c r="D40" s="170">
        <f>IFERROR(DATE(YEAR(B40),MONTH(B40),1)," ")</f>
        <v>43374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226</v>
      </c>
      <c r="G41" s="73">
        <f>IFERROR(G35/(G38-G39),"")</f>
        <v>62500</v>
      </c>
      <c r="H41" s="73"/>
    </row>
    <row r="42" spans="1:52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227</v>
      </c>
      <c r="G42" s="73">
        <f>IFERROR(G35*G36*IF(G37="Monthly",G38/12,IF(G37="Fortnightly",G38/(365/14),G38/(365/28)))/(G38-G40),"")</f>
        <v>8333.333333333332</v>
      </c>
    </row>
    <row r="43" spans="1:52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52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200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108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295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295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295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295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96</v>
      </c>
      <c r="B41" s="191" t="s">
        <v>126</v>
      </c>
      <c r="C41" s="191" t="s">
        <v>92</v>
      </c>
    </row>
    <row r="42" spans="1:36">
      <c r="A42" t="s">
        <v>108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313</v>
      </c>
      <c r="H52" s="12" t="s">
        <v>314</v>
      </c>
      <c r="I52" s="12" t="s">
        <v>131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228</v>
      </c>
      <c r="E53" s="10" t="s">
        <v>187</v>
      </c>
      <c r="F53" s="10" t="s">
        <v>247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126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126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126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126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126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126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126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165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224</v>
      </c>
      <c r="J76" s="11" t="s">
        <v>347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126</v>
      </c>
      <c r="F77" s="12" t="s">
        <v>126</v>
      </c>
      <c r="G77" s="12" t="s">
        <v>349</v>
      </c>
      <c r="H77" s="12" t="s">
        <v>314</v>
      </c>
      <c r="I77" s="12" t="s">
        <v>350</v>
      </c>
      <c r="J77" s="136" t="s">
        <v>351</v>
      </c>
      <c r="K77" s="12" t="s">
        <v>126</v>
      </c>
      <c r="AJ77" s="12"/>
    </row>
    <row r="78" spans="1:36">
      <c r="A78" t="s">
        <v>126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109</v>
      </c>
      <c r="H78" s="12" t="s">
        <v>131</v>
      </c>
      <c r="I78" s="12" t="s">
        <v>355</v>
      </c>
      <c r="J78" s="70" t="s">
        <v>356</v>
      </c>
      <c r="K78" s="12" t="s">
        <v>126</v>
      </c>
      <c r="AJ78" s="12"/>
    </row>
    <row r="79" spans="1:36">
      <c r="B79" s="176">
        <v>10</v>
      </c>
      <c r="C79" s="12" t="s">
        <v>129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165</v>
      </c>
      <c r="J79" s="70" t="s">
        <v>360</v>
      </c>
      <c r="K79" s="12" t="s">
        <v>126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123</v>
      </c>
      <c r="D85" s="12">
        <f>D84+1</f>
        <v>7</v>
      </c>
    </row>
    <row r="86" spans="1:36">
      <c r="B86" s="176">
        <v>80</v>
      </c>
      <c r="C86" s="12" t="s">
        <v>153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150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