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<sst xmlns="http://schemas.openxmlformats.org/spreadsheetml/2006/main" uniqueCount="366">
  <si>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</si>
  <si>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</si>
  <si>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</si>
  <si>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</si>
  <si>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</si>
  <si>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</si>
  <si>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</si>
  <si>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</si>
  <si>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</si>
  <si>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</si>
  <si>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</si>
  <si>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</si>
  <si>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</si>
  <si>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</si>
  <si>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</si>
  <si>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</si>
  <si>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</si>
  <si>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</si>
  <si>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</si>
  <si>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</si>
  <si>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</si>
  <si>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</si>
  <si>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</si>
  <si>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</si>
  <si>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</si>
  <si>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</si>
  <si>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</si>
  <si>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</si>
  <si>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</si>
  <si>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</si>
  <si>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</si>
  <si>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</si>
  <si>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</si>
  <si>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</si>
  <si>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</si>
  <si>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</si>
  <si>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</si>
  <si>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</si>
  <si>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</si>
  <si>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</si>
  <si>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</si>
  <si>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</si>
  <si>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</si>
  <si>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</si>
  <si>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</si>
  <si>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</si>
  <si>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</si>
  <si>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</si>
  <si>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</si>
  <si>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</si>
  <si>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</si>
  <si>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</si>
  <si>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</si>
  <si>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</si>
  <si>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</si>
  <si>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</si>
  <si>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</si>
  <si>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</si>
  <si>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</si>
  <si>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</si>
  <si>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</si>
  <si>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</si>
  <si>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</si>
  <si>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</si>
  <si>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</si>
  <si>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</si>
  <si>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</si>
  <si>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</si>
  <si>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</si>
  <si>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</si>
  <si>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</si>
  <si>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</si>
  <si>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</si>
  <si>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</si>
  <si>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</si>
  <si>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</si>
  <si>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</si>
  <si>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</si>
  <si>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</si>
  <si>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</si>
  <si>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</si>
  <si>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</si>
  <si>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</si>
  <si>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</si>
  <si>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</si>
  <si>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</si>
  <si>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</si>
  <si>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</si>
  <si>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</si>
  <si>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</si>
  <si>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Other farmers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</si>
  <si>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</si>
  <si>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</si>
  <si>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</si>
  <si>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</si>
  <si>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</si>
  <si>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</si>
  <si>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</si>
  <si>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</si>
  <si>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</si>
  <si>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</si>
  <si>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</si>
  <si>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</si>
  <si>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</si>
  <si>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</si>
  <si>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</si>
  <si>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</si>
  <si>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</si>
  <si>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</si>
  <si>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</si>
  <si>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</si>
  <si>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</si>
  <si>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</si>
  <si>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</si>
  <si>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</si>
  <si>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</si>
  <si>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</si>
  <si>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</si>
  <si>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</si>
  <si>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</si>
  <si>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Rentals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</si>
  <si>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</si>
  <si>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</si>
  <si>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</si>
  <si>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</si>
  <si>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</si>
  <si>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</si>
  <si>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</si>
  <si>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</si>
  <si>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</si>
  <si>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</si>
  <si>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</si>
  <si>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</si>
  <si>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</si>
  <si>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</si>
  <si>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</si>
  <si>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</si>
  <si>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</si>
  <si>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</si>
  <si>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</si>
  <si>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</si>
  <si>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</si>
  <si>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</si>
  <si>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</si>
  <si>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</si>
  <si>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</si>
  <si>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</si>
  <si>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</si>
  <si>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</si>
  <si>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</si>
  <si>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</si>
  <si>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</si>
  <si>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2018/2/22</t>
  </si>
  <si>
    <t>Loan terms</t>
  </si>
  <si>
    <t>Expected disbursement date</t>
  </si>
  <si>
    <t>2018/2/26</t>
  </si>
  <si>
    <t>Expected first repayment date</t>
  </si>
  <si>
    <t>2018/3/26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</si>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</sst>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0.05256410256410256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13307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27012</v>
      </c>
      <c r="J7" s="80">
        <f>IF(ISERROR(VLOOKUP(MONTH(J5),Inputs!$D$66:$D$71,1,0)),"",INDEX(Inputs!$B$66:$B$71,MATCH(MONTH(Output!J5),Inputs!$D$66:$D$71,0))-INDEX(Inputs!$C$66:$C$71,MATCH(MONTH(Output!J5),Inputs!$D$66:$D$71,0)))</f>
        <v>19805</v>
      </c>
      <c r="K7" s="80">
        <f>IF(ISERROR(VLOOKUP(MONTH(K5),Inputs!$D$66:$D$71,1,0)),"",INDEX(Inputs!$B$66:$B$71,MATCH(MONTH(Output!K5),Inputs!$D$66:$D$71,0))-INDEX(Inputs!$C$66:$C$71,MATCH(MONTH(Output!K5),Inputs!$D$66:$D$71,0)))</f>
        <v>13132</v>
      </c>
      <c r="L7" s="80">
        <f>IF(ISERROR(VLOOKUP(MONTH(L5),Inputs!$D$66:$D$71,1,0)),"",INDEX(Inputs!$B$66:$B$71,MATCH(MONTH(Output!L5),Inputs!$D$66:$D$71,0))-INDEX(Inputs!$C$66:$C$71,MATCH(MONTH(Output!L5),Inputs!$D$66:$D$71,0)))</f>
        <v>19714</v>
      </c>
      <c r="M7" s="80">
        <f>IF(ISERROR(VLOOKUP(MONTH(M5),Inputs!$D$66:$D$71,1,0)),"",INDEX(Inputs!$B$66:$B$71,MATCH(MONTH(Output!M5),Inputs!$D$66:$D$71,0))-INDEX(Inputs!$C$66:$C$71,MATCH(MONTH(Output!M5),Inputs!$D$66:$D$71,0)))</f>
        <v>23760</v>
      </c>
      <c r="N7" s="80">
        <f>IF(ISERROR(VLOOKUP(MONTH(N5),Inputs!$D$66:$D$71,1,0)),"",INDEX(Inputs!$B$66:$B$71,MATCH(MONTH(Output!N5),Inputs!$D$66:$D$71,0))-INDEX(Inputs!$C$66:$C$71,MATCH(MONTH(Output!N5),Inputs!$D$66:$D$71,0)))</f>
        <v>13307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27012</v>
      </c>
      <c r="V7" s="80">
        <f>IF(ISERROR(VLOOKUP(MONTH(V5),Inputs!$D$66:$D$71,1,0)),"",INDEX(Inputs!$B$66:$B$71,MATCH(MONTH(Output!V5),Inputs!$D$66:$D$71,0))-INDEX(Inputs!$C$66:$C$71,MATCH(MONTH(Output!V5),Inputs!$D$66:$D$71,0)))</f>
        <v>19805</v>
      </c>
      <c r="W7" s="80">
        <f>IF(ISERROR(VLOOKUP(MONTH(W5),Inputs!$D$66:$D$71,1,0)),"",INDEX(Inputs!$B$66:$B$71,MATCH(MONTH(Output!W5),Inputs!$D$66:$D$71,0))-INDEX(Inputs!$C$66:$C$71,MATCH(MONTH(Output!W5),Inputs!$D$66:$D$71,0)))</f>
        <v>13132</v>
      </c>
      <c r="X7" s="80">
        <f>IF(ISERROR(VLOOKUP(MONTH(X5),Inputs!$D$66:$D$71,1,0)),"",INDEX(Inputs!$B$66:$B$71,MATCH(MONTH(Output!X5),Inputs!$D$66:$D$71,0))-INDEX(Inputs!$C$66:$C$71,MATCH(MONTH(Output!X5),Inputs!$D$66:$D$71,0)))</f>
        <v>19714</v>
      </c>
      <c r="Y7" s="80">
        <f>IF(ISERROR(VLOOKUP(MONTH(Y5),Inputs!$D$66:$D$71,1,0)),"",INDEX(Inputs!$B$66:$B$71,MATCH(MONTH(Output!Y5),Inputs!$D$66:$D$71,0))-INDEX(Inputs!$C$66:$C$71,MATCH(MONTH(Output!Y5),Inputs!$D$66:$D$71,0)))</f>
        <v>23760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23000</v>
      </c>
      <c r="D10" s="37">
        <f>SUMPRODUCT((Calculations!$D$33:$D$84=Output!D5)+0,Calculations!$C$33:$C$84)</f>
        <v>23000</v>
      </c>
      <c r="E10" s="37">
        <f>SUMPRODUCT((Calculations!$D$33:$D$84=Output!E5)+0,Calculations!$C$33:$C$84)</f>
        <v>23000</v>
      </c>
      <c r="F10" s="37">
        <f>SUMPRODUCT((Calculations!$D$33:$D$84=Output!F5)+0,Calculations!$C$33:$C$84)</f>
        <v>23000</v>
      </c>
      <c r="G10" s="37">
        <f>SUMPRODUCT((Calculations!$D$33:$D$84=Output!G5)+0,Calculations!$C$33:$C$84)</f>
        <v>23000</v>
      </c>
      <c r="H10" s="37">
        <f>SUMPRODUCT((Calculations!$D$33:$D$84=Output!H5)+0,Calculations!$C$33:$C$84)</f>
        <v>23000</v>
      </c>
      <c r="I10" s="37">
        <f>SUMPRODUCT((Calculations!$D$33:$D$84=Output!I5)+0,Calculations!$C$33:$C$84)</f>
        <v>23000</v>
      </c>
      <c r="J10" s="37">
        <f>SUMPRODUCT((Calculations!$D$33:$D$84=Output!J5)+0,Calculations!$C$33:$C$84)</f>
        <v>23000</v>
      </c>
      <c r="K10" s="37">
        <f>SUMPRODUCT((Calculations!$D$33:$D$84=Output!K5)+0,Calculations!$C$33:$C$84)</f>
        <v>23000</v>
      </c>
      <c r="L10" s="37">
        <f>SUMPRODUCT((Calculations!$D$33:$D$84=Output!L5)+0,Calculations!$C$33:$C$84)</f>
        <v>23000</v>
      </c>
      <c r="M10" s="37">
        <f>SUMPRODUCT((Calculations!$D$33:$D$84=Output!M5)+0,Calculations!$C$33:$C$84)</f>
        <v>23000</v>
      </c>
      <c r="N10" s="37">
        <f>SUMPRODUCT((Calculations!$D$33:$D$84=Output!N5)+0,Calculations!$C$33:$C$84)</f>
        <v>23000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276000</v>
      </c>
      <c r="AA10" s="37">
        <f>SUM(B10:M10)</f>
        <v>253000</v>
      </c>
      <c r="AB10" s="37">
        <f>SUM(B10:Y10)</f>
        <v>276000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-23000</v>
      </c>
      <c r="D11" s="80">
        <f>D6+D9-D10</f>
        <v>-23000</v>
      </c>
      <c r="E11" s="80">
        <f>E6+E9-E10</f>
        <v>-23000</v>
      </c>
      <c r="F11" s="80">
        <f>F6+F9-F10</f>
        <v>-23000</v>
      </c>
      <c r="G11" s="80">
        <f>G6+G9-G10</f>
        <v>-23000</v>
      </c>
      <c r="H11" s="80">
        <f>H6+H9-H10</f>
        <v>-23000</v>
      </c>
      <c r="I11" s="80">
        <f>I6+I9-I10</f>
        <v>-23000</v>
      </c>
      <c r="J11" s="80">
        <f>J6+J9-J10</f>
        <v>-23000</v>
      </c>
      <c r="K11" s="80">
        <f>K6+K9-K10</f>
        <v>-23000</v>
      </c>
      <c r="L11" s="80">
        <f>L6+L9-L10</f>
        <v>-23000</v>
      </c>
      <c r="M11" s="80">
        <f>M6+M9-M10</f>
        <v>-23000</v>
      </c>
      <c r="N11" s="80">
        <f>N6+N9-N10</f>
        <v>-23000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-76000</v>
      </c>
      <c r="AA11" s="80">
        <f>SUM(B11:M11)</f>
        <v>-53000</v>
      </c>
      <c r="AB11" s="46">
        <f>SUM(B11:Y11)</f>
        <v>-76000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0.115</v>
      </c>
      <c r="D12" s="82">
        <f>IF(D13="Yes",IF(SUM($B$10:D10)/(SUM($B$6:D6)+SUM($B$9:D9))&lt;0,999.99,SUM($B$10:D10)/(SUM($B$6:D6)+SUM($B$9:D9))),"")</f>
        <v>0.23</v>
      </c>
      <c r="E12" s="82">
        <f>IF(E13="Yes",IF(SUM($B$10:E10)/(SUM($B$6:E6)+SUM($B$9:E9))&lt;0,999.99,SUM($B$10:E10)/(SUM($B$6:E6)+SUM($B$9:E9))),"")</f>
        <v>0.345</v>
      </c>
      <c r="F12" s="82">
        <f>IF(F13="Yes",IF(SUM($B$10:F10)/(SUM($B$6:F6)+SUM($B$9:F9))&lt;0,999.99,SUM($B$10:F10)/(SUM($B$6:F6)+SUM($B$9:F9))),"")</f>
        <v>0.46</v>
      </c>
      <c r="G12" s="82">
        <f>IF(G13="Yes",IF(SUM($B$10:G10)/(SUM($B$6:G6)+SUM($B$9:G9))&lt;0,999.99,SUM($B$10:G10)/(SUM($B$6:G6)+SUM($B$9:G9))),"")</f>
        <v>0.575</v>
      </c>
      <c r="H12" s="82">
        <f>IF(H13="Yes",IF(SUM($B$10:H10)/(SUM($B$6:H6)+SUM($B$9:H9))&lt;0,999.99,SUM($B$10:H10)/(SUM($B$6:H6)+SUM($B$9:H9))),"")</f>
        <v>0.6899999999999999</v>
      </c>
      <c r="I12" s="82">
        <f>IF(I13="Yes",IF(SUM($B$10:I10)/(SUM($B$6:I6)+SUM($B$9:I9))&lt;0,999.99,SUM($B$10:I10)/(SUM($B$6:I6)+SUM($B$9:I9))),"")</f>
        <v>0.805</v>
      </c>
      <c r="J12" s="82">
        <f>IF(J13="Yes",IF(SUM($B$10:J10)/(SUM($B$6:J6)+SUM($B$9:J9))&lt;0,999.99,SUM($B$10:J10)/(SUM($B$6:J6)+SUM($B$9:J9))),"")</f>
        <v>0.92</v>
      </c>
      <c r="K12" s="82">
        <f>IF(K13="Yes",IF(SUM($B$10:K10)/(SUM($B$6:K6)+SUM($B$9:K9))&lt;0,999.99,SUM($B$10:K10)/(SUM($B$6:K6)+SUM($B$9:K9))),"")</f>
        <v>1.035</v>
      </c>
      <c r="L12" s="82">
        <f>IF(L13="Yes",IF(SUM($B$10:L10)/(SUM($B$6:L6)+SUM($B$9:L9))&lt;0,999.99,SUM($B$10:L10)/(SUM($B$6:L6)+SUM($B$9:L9))),"")</f>
        <v>1.15</v>
      </c>
      <c r="M12" s="82">
        <f>IF(M13="Yes",IF(SUM($B$10:M10)/(SUM($B$6:M6)+SUM($B$9:M9))&lt;0,999.99,SUM($B$10:M10)/(SUM($B$6:M6)+SUM($B$9:M9))),"")</f>
        <v>1.265</v>
      </c>
      <c r="N12" s="82">
        <f>IF(N13="Yes",IF(SUM($B$10:N10)/(SUM($B$6:N6)+SUM($B$9:N9))&lt;0,999.99,SUM($B$10:N10)/(SUM($B$6:N6)+SUM($B$9:N9))),"")</f>
        <v>1.38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3900000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0</v>
      </c>
      <c r="D19" s="145">
        <v>0</v>
      </c>
      <c r="E19" s="20"/>
      <c r="F19" s="145" t="s">
        <v>107</v>
      </c>
      <c r="G19" s="20"/>
      <c r="H19" s="20"/>
      <c r="I19" s="145" t="s">
        <v>108</v>
      </c>
      <c r="J19" s="145">
        <v>0</v>
      </c>
      <c r="K19" s="145">
        <v>0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100</v>
      </c>
    </row>
    <row r="27" spans="1:48">
      <c r="A27" s="14" t="s">
        <v>111</v>
      </c>
    </row>
    <row r="29" spans="1:48">
      <c r="A29" s="45" t="s">
        <v>112</v>
      </c>
      <c r="B29" s="156"/>
    </row>
    <row r="30" spans="1:48">
      <c r="A30" s="44" t="s">
        <v>113</v>
      </c>
      <c r="B30" s="157">
        <v>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0</v>
      </c>
      <c r="C35" s="145" t="s">
        <v>92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107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107</v>
      </c>
    </row>
    <row r="45" spans="1:48">
      <c r="A45" s="56" t="s">
        <v>128</v>
      </c>
      <c r="B45" s="161">
        <v>0</v>
      </c>
    </row>
    <row r="46" spans="1:48" customHeight="1" ht="30">
      <c r="A46" s="57" t="s">
        <v>129</v>
      </c>
      <c r="B46" s="161">
        <v>600000</v>
      </c>
    </row>
    <row r="47" spans="1:48" customHeight="1" ht="30">
      <c r="A47" s="57" t="s">
        <v>130</v>
      </c>
      <c r="B47" s="161">
        <v>250000</v>
      </c>
    </row>
    <row r="48" spans="1:48" customHeight="1" ht="30">
      <c r="A48" s="57" t="s">
        <v>131</v>
      </c>
      <c r="B48" s="161">
        <v>3000000</v>
      </c>
    </row>
    <row r="49" spans="1:48" customHeight="1" ht="30">
      <c r="A49" s="57" t="s">
        <v>132</v>
      </c>
      <c r="B49" s="161">
        <v>50000</v>
      </c>
    </row>
    <row r="50" spans="1:48">
      <c r="A50" s="43"/>
      <c r="B50" s="36"/>
    </row>
    <row r="51" spans="1:48">
      <c r="A51" s="58" t="s">
        <v>133</v>
      </c>
      <c r="B51" s="161">
        <v>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142</v>
      </c>
      <c r="C65" s="10" t="s">
        <v>143</v>
      </c>
    </row>
    <row r="66" spans="1:48">
      <c r="A66" s="142" t="s">
        <v>144</v>
      </c>
      <c r="B66" s="159">
        <v>85607</v>
      </c>
      <c r="C66" s="163">
        <v>72300</v>
      </c>
      <c r="D66" s="49">
        <f>INDEX(Parameters!$D$79:$D$90,MATCH(Inputs!A66,Parameters!$C$79:$C$90,0))</f>
        <v>2</v>
      </c>
    </row>
    <row r="67" spans="1:48">
      <c r="A67" s="143" t="s">
        <v>92</v>
      </c>
      <c r="B67" s="157">
        <v>126215</v>
      </c>
      <c r="C67" s="165">
        <v>102455</v>
      </c>
      <c r="D67" s="49">
        <f>INDEX(Parameters!$D$79:$D$90,MATCH(Inputs!A67,Parameters!$C$79:$C$90,0))</f>
        <v>1</v>
      </c>
    </row>
    <row r="68" spans="1:48">
      <c r="A68" s="143" t="s">
        <v>145</v>
      </c>
      <c r="B68" s="157">
        <v>111120</v>
      </c>
      <c r="C68" s="165">
        <v>91406</v>
      </c>
      <c r="D68" s="49">
        <f>INDEX(Parameters!$D$79:$D$90,MATCH(Inputs!A68,Parameters!$C$79:$C$90,0))</f>
        <v>12</v>
      </c>
    </row>
    <row r="69" spans="1:48">
      <c r="A69" s="143" t="s">
        <v>146</v>
      </c>
      <c r="B69" s="157">
        <v>106230</v>
      </c>
      <c r="C69" s="165">
        <v>93098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108550</v>
      </c>
      <c r="C70" s="165">
        <v>88745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159997</v>
      </c>
      <c r="C71" s="167">
        <v>132985</v>
      </c>
      <c r="D71" s="49">
        <f>INDEX(Parameters!$D$79:$D$90,MATCH(Inputs!A71,Parameters!$C$79:$C$90,0))</f>
        <v>9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200000</v>
      </c>
    </row>
    <row r="82" spans="1:48">
      <c r="A82" t="s">
        <v>159</v>
      </c>
      <c r="B82" s="161">
        <v>38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43525</v>
      </c>
      <c r="D4" s="38">
        <f>IFERROR(DATE(YEAR(B4),MONTH(B4)+T4,DAY(B4)),"")</f>
        <v>43586</v>
      </c>
      <c r="E4" s="38">
        <f>IFERROR(IF($S4=0,"",IF($S4=2,DATE(YEAR(B4),MONTH(B4)+6,DAY(B4)),IF($S4=1,B4,""))),"")</f>
        <v>43647</v>
      </c>
      <c r="F4" s="38">
        <f>IFERROR(IF($S4=0,"",IF($S4=2,DATE(YEAR(C4),MONTH(C4)+6,DAY(C4)),IF($S4=1,C4,""))),"")</f>
        <v>43709</v>
      </c>
      <c r="G4" s="38">
        <f>IFERROR(IF($S4=0,"",IF($S4=2,DATE(YEAR(D4),MONTH(D4)+6,DAY(D4)),IF($S4=1,D4,""))),"")</f>
        <v>43770</v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752.7045421367818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0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43185</v>
      </c>
      <c r="C33" s="27">
        <f>IF(B33&lt;&gt;"",IF(COUNT($A$33:A33)&lt;=$G$39,0,$G$41)+IF(COUNT($A$33:A33)&lt;=$G$40,0,$G$42),0)</f>
        <v>23000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43216</v>
      </c>
      <c r="C34" s="27">
        <f>IF(B34&lt;&gt;"",IF(COUNT($A$33:A34)&lt;=$G$39,0,$G$41)+IF(COUNT($A$33:A34)&lt;=$G$40,0,$G$42),0)</f>
        <v>23000</v>
      </c>
      <c r="D34" s="170">
        <f>IFERROR(DATE(YEAR(B34),MONTH(B34),1)," ")</f>
        <v>43191</v>
      </c>
      <c r="F34" t="s">
        <v>156</v>
      </c>
      <c r="G34" s="128">
        <f>IF(Inputs!B80="","",DATE(YEAR(Inputs!B80),MONTH(Inputs!B80),DAY(Inputs!B80)))</f>
        <v>43185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43246</v>
      </c>
      <c r="C35" s="27">
        <f>IF(B35&lt;&gt;"",IF(COUNT($A$33:A35)&lt;=$G$39,0,$G$41)+IF(COUNT($A$33:A35)&lt;=$G$40,0,$G$42),0)</f>
        <v>23000</v>
      </c>
      <c r="D35" s="170">
        <f>IFERROR(DATE(YEAR(B35),MONTH(B35),1)," ")</f>
        <v>43221</v>
      </c>
      <c r="F35" t="s">
        <v>158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43277</v>
      </c>
      <c r="C36" s="27">
        <f>IF(B36&lt;&gt;"",IF(COUNT($A$33:A36)&lt;=$G$39,0,$G$41)+IF(COUNT($A$33:A36)&lt;=$G$40,0,$G$42),0)</f>
        <v>23000</v>
      </c>
      <c r="D36" s="170">
        <f>IFERROR(DATE(YEAR(B36),MONTH(B36),1)," ")</f>
        <v>43252</v>
      </c>
      <c r="F36" t="s">
        <v>159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43307</v>
      </c>
      <c r="C37" s="27">
        <f>IF(B37&lt;&gt;"",IF(COUNT($A$33:A37)&lt;=$G$39,0,$G$41)+IF(COUNT($A$33:A37)&lt;=$G$40,0,$G$42),0)</f>
        <v>23000</v>
      </c>
      <c r="D37" s="170">
        <f>IFERROR(DATE(YEAR(B37),MONTH(B37),1)," ")</f>
        <v>43282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43338</v>
      </c>
      <c r="C38" s="27">
        <f>IF(B38&lt;&gt;"",IF(COUNT($A$33:A38)&lt;=$G$39,0,$G$41)+IF(COUNT($A$33:A38)&lt;=$G$40,0,$G$42),0)</f>
        <v>23000</v>
      </c>
      <c r="D38" s="170">
        <f>IFERROR(DATE(YEAR(B38),MONTH(B38),1)," ")</f>
        <v>43313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43369</v>
      </c>
      <c r="C39" s="27">
        <f>IF(B39&lt;&gt;"",IF(COUNT($A$33:A39)&lt;=$G$39,0,$G$41)+IF(COUNT($A$33:A39)&lt;=$G$40,0,$G$42),0)</f>
        <v>23000</v>
      </c>
      <c r="D39" s="170">
        <f>IFERROR(DATE(YEAR(B39),MONTH(B39),1)," ")</f>
        <v>43344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43399</v>
      </c>
      <c r="C40" s="27">
        <f>IF(B40&lt;&gt;"",IF(COUNT($A$33:A40)&lt;=$G$39,0,$G$41)+IF(COUNT($A$33:A40)&lt;=$G$40,0,$G$42),0)</f>
        <v>23000</v>
      </c>
      <c r="D40" s="170">
        <f>IFERROR(DATE(YEAR(B40),MONTH(B40),1)," ")</f>
        <v>43374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43430</v>
      </c>
      <c r="C41" s="27">
        <f>IF(B41&lt;&gt;"",IF(COUNT($A$33:A41)&lt;=$G$39,0,$G$41)+IF(COUNT($A$33:A41)&lt;=$G$40,0,$G$42),0)</f>
        <v>23000</v>
      </c>
      <c r="D41" s="170">
        <f>IFERROR(DATE(YEAR(B41),MONTH(B41),1)," ")</f>
        <v>43405</v>
      </c>
      <c r="F41" t="s">
        <v>222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43460</v>
      </c>
      <c r="C42" s="27">
        <f>IF(B42&lt;&gt;"",IF(COUNT($A$33:A42)&lt;=$G$39,0,$G$41)+IF(COUNT($A$33:A42)&lt;=$G$40,0,$G$42),0)</f>
        <v>23000</v>
      </c>
      <c r="D42" s="170">
        <f>IFERROR(DATE(YEAR(B42),MONTH(B42),1)," ")</f>
        <v>43435</v>
      </c>
      <c r="F42" t="s">
        <v>223</v>
      </c>
      <c r="G42" s="73">
        <f>IFERROR(G35*G36*IF(G37="Monthly",G38/12,IF(G37="Fortnightly",G38/(365/14),G38/(365/28)))/(G38-G40),"")</f>
        <v>6333.333333333333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43491</v>
      </c>
      <c r="C43" s="27">
        <f>IF(B43&lt;&gt;"",IF(COUNT($A$33:A43)&lt;=$G$39,0,$G$41)+IF(COUNT($A$33:A43)&lt;=$G$40,0,$G$42),0)</f>
        <v>23000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43522</v>
      </c>
      <c r="C44" s="27">
        <f>IF(B44&lt;&gt;"",IF(COUNT($A$33:A44)&lt;=$G$39,0,$G$41)+IF(COUNT($A$33:A44)&lt;=$G$40,0,$G$42),0)</f>
        <v>23000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106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94</v>
      </c>
      <c r="B41" s="191" t="s">
        <v>91</v>
      </c>
      <c r="C41" s="191" t="s">
        <v>107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310</v>
      </c>
      <c r="I52" s="12" t="s">
        <v>126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107</v>
      </c>
      <c r="B77" s="176">
        <v>0</v>
      </c>
      <c r="C77" s="12" t="s">
        <v>344</v>
      </c>
      <c r="E77" s="12" t="s">
        <v>91</v>
      </c>
      <c r="F77" s="12" t="s">
        <v>91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126</v>
      </c>
      <c r="I78" s="12" t="s">
        <v>352</v>
      </c>
      <c r="J78" s="70" t="s">
        <v>90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353</v>
      </c>
      <c r="F79" s="12" t="s">
        <v>354</v>
      </c>
      <c r="G79" s="12" t="s">
        <v>108</v>
      </c>
      <c r="I79" s="12" t="s">
        <v>161</v>
      </c>
      <c r="J79" s="70" t="s">
        <v>355</v>
      </c>
      <c r="K79" s="12" t="s">
        <v>91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107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107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