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<sst xmlns="http://schemas.openxmlformats.org/spreadsheetml/2006/main" uniqueCount="371">
  <si>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</si>
  <si>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</si>
  <si>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</si>
  <si>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</si>
  <si>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</si>
  <si>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</si>
  <si>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</si>
  <si>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</si>
  <si>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</si>
  <si>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</si>
  <si>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</si>
  <si>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</si>
  <si>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</si>
  <si>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</si>
  <si>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</si>
  <si>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</si>
  <si>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</si>
  <si>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</si>
  <si>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</si>
  <si>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</si>
  <si>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</si>
  <si>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</si>
  <si>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</si>
  <si>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</si>
  <si>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</si>
  <si>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</si>
  <si>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</si>
  <si>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</si>
  <si>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</si>
  <si>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</si>
  <si>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</si>
  <si>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</si>
  <si>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</si>
  <si>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</si>
  <si>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</si>
  <si>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</si>
  <si>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</si>
  <si>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</si>
  <si>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</si>
  <si>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</si>
  <si>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</si>
  <si>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</si>
  <si>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</si>
  <si>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</si>
  <si>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</si>
  <si>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</si>
  <si>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</si>
  <si>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</si>
  <si>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</si>
  <si>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</si>
  <si>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</si>
  <si>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</si>
  <si>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</si>
  <si>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</si>
  <si>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</si>
  <si>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</si>
  <si>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</si>
  <si>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</si>
  <si>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</si>
  <si>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</si>
  <si>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</si>
  <si>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</si>
  <si>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</si>
  <si>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</si>
  <si>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</si>
  <si>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</si>
  <si>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</si>
  <si>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</si>
  <si>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</si>
  <si>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</si>
  <si>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</si>
  <si>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</si>
  <si>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</si>
  <si>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</si>
  <si>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</si>
  <si>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</si>
  <si>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</si>
  <si>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</si>
  <si>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</si>
  <si>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</si>
  <si>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</si>
  <si>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</si>
  <si>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</si>
  <si>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</si>
  <si>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</si>
  <si>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</si>
  <si>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</si>
  <si>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</si>
  <si>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</si>
  <si>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</si>
  <si>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NGO</t>
  </si>
  <si>
    <t>Yes both manure and inorganic</t>
  </si>
  <si>
    <t>Yes</t>
  </si>
  <si>
    <t>Yes using a diesel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</si>
  <si>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</si>
  <si>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</si>
  <si>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</si>
  <si>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</si>
  <si>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</si>
  <si>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</si>
  <si>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</si>
  <si>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</si>
  <si>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</si>
  <si>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</si>
  <si>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</si>
  <si>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</si>
  <si>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</si>
  <si>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</si>
  <si>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</si>
  <si>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</si>
  <si>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</si>
  <si>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</si>
  <si>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Safaricom Dealer, 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</si>
  <si>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</si>
  <si>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</si>
  <si>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</si>
  <si>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</si>
  <si>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</si>
  <si>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</si>
  <si>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</si>
  <si>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</si>
  <si>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</si>
  <si>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</si>
  <si>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</si>
  <si>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</si>
  <si>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</si>
  <si>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</si>
  <si>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</si>
  <si>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</si>
  <si>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</si>
  <si>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</si>
  <si>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</si>
  <si>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</si>
  <si>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</si>
  <si>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</si>
  <si>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</si>
  <si>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</si>
  <si>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</si>
  <si>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</si>
  <si>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</si>
  <si>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</si>
  <si>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7/17/2017</t>
  </si>
  <si>
    <t>Musoni</t>
  </si>
  <si>
    <t>ok</t>
  </si>
  <si>
    <t>1/30/2018</t>
  </si>
  <si>
    <t>Mobile Banking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</si>
  <si>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</si>
  <si>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</si>
  <si>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</si>
  <si>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</si>
  <si>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</si>
  <si>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</si>
  <si>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</si>
  <si>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</si>
  <si>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</si>
  <si>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</si>
  <si>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</si>
  <si>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</si>
  <si>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2018/2/24</t>
  </si>
  <si>
    <t>Loan terms</t>
  </si>
  <si>
    <t>Expected disbursement date</t>
  </si>
  <si>
    <t>2018/2/27</t>
  </si>
  <si>
    <t>Expected first repayment date</t>
  </si>
  <si>
    <t>2018/4/3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</si>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</sst>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Safaricom Dealer, 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0.1735946358833292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1.908593220338983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639270.1547505452</v>
      </c>
    </row>
    <row r="18" spans="1:7">
      <c r="B18" s="1" t="s">
        <v>12</v>
      </c>
      <c r="C18" s="36">
        <f>MIN(Output!B6:M6)</f>
        <v>47989.38479614086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68240.15339456833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182500</v>
      </c>
    </row>
    <row r="25" spans="1:7">
      <c r="B25" s="1" t="s">
        <v>18</v>
      </c>
      <c r="C25" s="36">
        <f>MAX(Inputs!A56:A60)</f>
        <v>350000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52828.38479614086</v>
      </c>
      <c r="C6" s="51">
        <f>C30-C88</f>
        <v>47989.38479614086</v>
      </c>
      <c r="D6" s="51">
        <f>D30-D88</f>
        <v>50292.38479614086</v>
      </c>
      <c r="E6" s="51">
        <f>E30-E88</f>
        <v>49992.38479614086</v>
      </c>
      <c r="F6" s="51">
        <f>F30-F88</f>
        <v>50292.38479614086</v>
      </c>
      <c r="G6" s="51">
        <f>G30-G88</f>
        <v>68240.15339456833</v>
      </c>
      <c r="H6" s="51">
        <f>H30-H88</f>
        <v>52828.38479614086</v>
      </c>
      <c r="I6" s="51">
        <f>I30-I88</f>
        <v>47989.38479614086</v>
      </c>
      <c r="J6" s="51">
        <f>J30-J88</f>
        <v>50292.38479614086</v>
      </c>
      <c r="K6" s="51">
        <f>K30-K88</f>
        <v>49992.38479614086</v>
      </c>
      <c r="L6" s="51">
        <f>L30-L88</f>
        <v>50292.38479614086</v>
      </c>
      <c r="M6" s="51">
        <f>M30-M88</f>
        <v>68240.15339456833</v>
      </c>
      <c r="N6" s="51">
        <f>N30-N88</f>
        <v>52828.38479614086</v>
      </c>
      <c r="O6" s="51">
        <f>O30-O88</f>
        <v>47989.38479614086</v>
      </c>
      <c r="P6" s="51">
        <f>P30-P88</f>
        <v>50292.38479614086</v>
      </c>
      <c r="Q6" s="51">
        <f>Q30-Q88</f>
        <v>49992.38479614086</v>
      </c>
      <c r="R6" s="51">
        <f>R30-R88</f>
        <v>50292.38479614086</v>
      </c>
      <c r="S6" s="51">
        <f>S30-S88</f>
        <v>68240.15339456833</v>
      </c>
      <c r="T6" s="51">
        <f>T30-T88</f>
        <v>52828.38479614086</v>
      </c>
      <c r="U6" s="51">
        <f>U30-U88</f>
        <v>47989.38479614086</v>
      </c>
      <c r="V6" s="51">
        <f>V30-V88</f>
        <v>50292.38479614086</v>
      </c>
      <c r="W6" s="51">
        <f>W30-W88</f>
        <v>49992.38479614086</v>
      </c>
      <c r="X6" s="51">
        <f>X30-X88</f>
        <v>50292.38479614086</v>
      </c>
      <c r="Y6" s="51">
        <f>Y30-Y88</f>
        <v>68240.15339456833</v>
      </c>
      <c r="Z6" s="51">
        <f>SUMIF($B$13:$Y$13,"Yes",B6:Y6)</f>
        <v>1278540.309501091</v>
      </c>
      <c r="AA6" s="51">
        <f>AA30-AA88</f>
        <v>639270.1547505452</v>
      </c>
      <c r="AB6" s="51">
        <f>AB30-AB88</f>
        <v>1278540.309501091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-10709</v>
      </c>
      <c r="I7" s="80">
        <f>IF(ISERROR(VLOOKUP(MONTH(I5),Inputs!$D$66:$D$71,1,0)),"",INDEX(Inputs!$B$66:$B$71,MATCH(MONTH(Output!I5),Inputs!$D$66:$D$71,0))-INDEX(Inputs!$C$66:$C$71,MATCH(MONTH(Output!I5),Inputs!$D$66:$D$71,0)))</f>
        <v>-431</v>
      </c>
      <c r="J7" s="80">
        <f>IF(ISERROR(VLOOKUP(MONTH(J5),Inputs!$D$66:$D$71,1,0)),"",INDEX(Inputs!$B$66:$B$71,MATCH(MONTH(Output!J5),Inputs!$D$66:$D$71,0))-INDEX(Inputs!$C$66:$C$71,MATCH(MONTH(Output!J5),Inputs!$D$66:$D$71,0)))</f>
        <v>2584</v>
      </c>
      <c r="K7" s="80">
        <f>IF(ISERROR(VLOOKUP(MONTH(K5),Inputs!$D$66:$D$71,1,0)),"",INDEX(Inputs!$B$66:$B$71,MATCH(MONTH(Output!K5),Inputs!$D$66:$D$71,0))-INDEX(Inputs!$C$66:$C$71,MATCH(MONTH(Output!K5),Inputs!$D$66:$D$71,0)))</f>
        <v>-4154</v>
      </c>
      <c r="L7" s="80">
        <f>IF(ISERROR(VLOOKUP(MONTH(L5),Inputs!$D$66:$D$71,1,0)),"",INDEX(Inputs!$B$66:$B$71,MATCH(MONTH(Output!L5),Inputs!$D$66:$D$71,0))-INDEX(Inputs!$C$66:$C$71,MATCH(MONTH(Output!L5),Inputs!$D$66:$D$71,0)))</f>
        <v>-2713</v>
      </c>
      <c r="M7" s="80">
        <f>IF(ISERROR(VLOOKUP(MONTH(M5),Inputs!$D$66:$D$71,1,0)),"",INDEX(Inputs!$B$66:$B$71,MATCH(MONTH(Output!M5),Inputs!$D$66:$D$71,0))-INDEX(Inputs!$C$66:$C$71,MATCH(MONTH(Output!M5),Inputs!$D$66:$D$71,0)))</f>
        <v>36446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-10709</v>
      </c>
      <c r="U7" s="80">
        <f>IF(ISERROR(VLOOKUP(MONTH(U5),Inputs!$D$66:$D$71,1,0)),"",INDEX(Inputs!$B$66:$B$71,MATCH(MONTH(Output!U5),Inputs!$D$66:$D$71,0))-INDEX(Inputs!$C$66:$C$71,MATCH(MONTH(Output!U5),Inputs!$D$66:$D$71,0)))</f>
        <v>-431</v>
      </c>
      <c r="V7" s="80">
        <f>IF(ISERROR(VLOOKUP(MONTH(V5),Inputs!$D$66:$D$71,1,0)),"",INDEX(Inputs!$B$66:$B$71,MATCH(MONTH(Output!V5),Inputs!$D$66:$D$71,0))-INDEX(Inputs!$C$66:$C$71,MATCH(MONTH(Output!V5),Inputs!$D$66:$D$71,0)))</f>
        <v>2584</v>
      </c>
      <c r="W7" s="80">
        <f>IF(ISERROR(VLOOKUP(MONTH(W5),Inputs!$D$66:$D$71,1,0)),"",INDEX(Inputs!$B$66:$B$71,MATCH(MONTH(Output!W5),Inputs!$D$66:$D$71,0))-INDEX(Inputs!$C$66:$C$71,MATCH(MONTH(Output!W5),Inputs!$D$66:$D$71,0)))</f>
        <v>-4154</v>
      </c>
      <c r="X7" s="80">
        <f>IF(ISERROR(VLOOKUP(MONTH(X5),Inputs!$D$66:$D$71,1,0)),"",INDEX(Inputs!$B$66:$B$71,MATCH(MONTH(Output!X5),Inputs!$D$66:$D$71,0))-INDEX(Inputs!$C$66:$C$71,MATCH(MONTH(Output!X5),Inputs!$D$66:$D$71,0)))</f>
        <v>-2713</v>
      </c>
      <c r="Y7" s="80">
        <f>IF(ISERROR(VLOOKUP(MONTH(Y5),Inputs!$D$66:$D$71,1,0)),"",INDEX(Inputs!$B$66:$B$71,MATCH(MONTH(Output!Y5),Inputs!$D$66:$D$71,0))-INDEX(Inputs!$C$66:$C$71,MATCH(MONTH(Output!Y5),Inputs!$D$66:$D$71,0)))</f>
        <v>36446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11666.66666666667</v>
      </c>
      <c r="P10" s="37">
        <f>SUMPRODUCT((Calculations!$D$33:$D$84=Output!P5)+0,Calculations!$C$33:$C$84)</f>
        <v>11666.66666666667</v>
      </c>
      <c r="Q10" s="37">
        <f>SUMPRODUCT((Calculations!$D$33:$D$84=Output!Q5)+0,Calculations!$C$33:$C$84)</f>
        <v>11666.66666666667</v>
      </c>
      <c r="R10" s="37">
        <f>SUMPRODUCT((Calculations!$D$33:$D$84=Output!R5)+0,Calculations!$C$33:$C$84)</f>
        <v>11666.66666666667</v>
      </c>
      <c r="S10" s="37">
        <f>SUMPRODUCT((Calculations!$D$33:$D$84=Output!S5)+0,Calculations!$C$33:$C$84)</f>
        <v>11666.66666666667</v>
      </c>
      <c r="T10" s="37">
        <f>SUMPRODUCT((Calculations!$D$33:$D$84=Output!T5)+0,Calculations!$C$33:$C$84)</f>
        <v>11666.66666666667</v>
      </c>
      <c r="U10" s="37">
        <f>SUMPRODUCT((Calculations!$D$33:$D$84=Output!U5)+0,Calculations!$C$33:$C$84)</f>
        <v>11666.66666666667</v>
      </c>
      <c r="V10" s="37">
        <f>SUMPRODUCT((Calculations!$D$33:$D$84=Output!V5)+0,Calculations!$C$33:$C$84)</f>
        <v>11666.66666666667</v>
      </c>
      <c r="W10" s="37">
        <f>SUMPRODUCT((Calculations!$D$33:$D$84=Output!W5)+0,Calculations!$C$33:$C$84)</f>
        <v>11666.66666666667</v>
      </c>
      <c r="X10" s="37">
        <f>SUMPRODUCT((Calculations!$D$33:$D$84=Output!X5)+0,Calculations!$C$33:$C$84)</f>
        <v>11666.66666666667</v>
      </c>
      <c r="Y10" s="37">
        <f>SUMPRODUCT((Calculations!$D$33:$D$84=Output!Y5)+0,Calculations!$C$33:$C$84)</f>
        <v>11666.66666666667</v>
      </c>
      <c r="Z10" s="37">
        <f>SUMIF($B$13:$Y$13,"Yes",B10:Y10)</f>
        <v>256666.6666666666</v>
      </c>
      <c r="AA10" s="37">
        <f>SUM(B10:M10)</f>
        <v>116666.6666666667</v>
      </c>
      <c r="AB10" s="37">
        <f>SUM(B10:Y10)</f>
        <v>256666.6666666666</v>
      </c>
    </row>
    <row r="11" spans="1:30" customHeight="1" ht="15.75">
      <c r="A11" s="43" t="s">
        <v>31</v>
      </c>
      <c r="B11" s="80">
        <f>B6+B9-B10</f>
        <v>252828.3847961409</v>
      </c>
      <c r="C11" s="80">
        <f>C6+C9-C10</f>
        <v>47989.38479614086</v>
      </c>
      <c r="D11" s="80">
        <f>D6+D9-D10</f>
        <v>38625.71812947419</v>
      </c>
      <c r="E11" s="80">
        <f>E6+E9-E10</f>
        <v>38325.71812947419</v>
      </c>
      <c r="F11" s="80">
        <f>F6+F9-F10</f>
        <v>38625.71812947419</v>
      </c>
      <c r="G11" s="80">
        <f>G6+G9-G10</f>
        <v>56573.48672790166</v>
      </c>
      <c r="H11" s="80">
        <f>H6+H9-H10</f>
        <v>41161.71812947419</v>
      </c>
      <c r="I11" s="80">
        <f>I6+I9-I10</f>
        <v>36322.71812947419</v>
      </c>
      <c r="J11" s="80">
        <f>J6+J9-J10</f>
        <v>38625.71812947419</v>
      </c>
      <c r="K11" s="80">
        <f>K6+K9-K10</f>
        <v>38325.71812947419</v>
      </c>
      <c r="L11" s="80">
        <f>L6+L9-L10</f>
        <v>38625.71812947419</v>
      </c>
      <c r="M11" s="80">
        <f>M6+M9-M10</f>
        <v>56573.48672790166</v>
      </c>
      <c r="N11" s="80">
        <f>N6+N9-N10</f>
        <v>41161.71812947419</v>
      </c>
      <c r="O11" s="80">
        <f>O6+O9-O10</f>
        <v>36322.71812947419</v>
      </c>
      <c r="P11" s="80">
        <f>P6+P9-P10</f>
        <v>38625.71812947419</v>
      </c>
      <c r="Q11" s="80">
        <f>Q6+Q9-Q10</f>
        <v>38325.71812947419</v>
      </c>
      <c r="R11" s="80">
        <f>R6+R9-R10</f>
        <v>38625.71812947419</v>
      </c>
      <c r="S11" s="80">
        <f>S6+S9-S10</f>
        <v>56573.48672790166</v>
      </c>
      <c r="T11" s="80">
        <f>T6+T9-T10</f>
        <v>41161.71812947419</v>
      </c>
      <c r="U11" s="80">
        <f>U6+U9-U10</f>
        <v>36322.71812947419</v>
      </c>
      <c r="V11" s="80">
        <f>V6+V9-V10</f>
        <v>38625.71812947419</v>
      </c>
      <c r="W11" s="80">
        <f>W6+W9-W10</f>
        <v>38325.71812947419</v>
      </c>
      <c r="X11" s="80">
        <f>X6+X9-X10</f>
        <v>38625.71812947419</v>
      </c>
      <c r="Y11" s="80">
        <f>Y6+Y9-Y10</f>
        <v>56573.48672790166</v>
      </c>
      <c r="Z11" s="85">
        <f>SUMIF($B$13:$Y$13,"Yes",B11:Y11)</f>
        <v>1221873.642834424</v>
      </c>
      <c r="AA11" s="80">
        <f>SUM(B11:M11)</f>
        <v>722603.4880838786</v>
      </c>
      <c r="AB11" s="46">
        <f>SUM(B11:Y11)</f>
        <v>1221873.642834424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0.03322793864218516</v>
      </c>
      <c r="E12" s="82">
        <f>IF(E13="Yes",IF(SUM($B$10:E10)/(SUM($B$6:E6)+SUM($B$9:E9))&lt;0,999.99,SUM($B$10:E10)/(SUM($B$6:E6)+SUM($B$9:E9))),"")</f>
        <v>0.05817298833552566</v>
      </c>
      <c r="F12" s="82">
        <f>IF(F13="Yes",IF(SUM($B$10:F10)/(SUM($B$6:F6)+SUM($B$9:F9))&lt;0,999.99,SUM($B$10:F10)/(SUM($B$6:F6)+SUM($B$9:F9))),"")</f>
        <v>0.0775374248592484</v>
      </c>
      <c r="G12" s="82">
        <f>IF(G13="Yes",IF(SUM($B$10:G10)/(SUM($B$6:G6)+SUM($B$9:G9))&lt;0,999.99,SUM($B$10:G10)/(SUM($B$6:G6)+SUM($B$9:G9))),"")</f>
        <v>0.08980661371511821</v>
      </c>
      <c r="H12" s="82">
        <f>IF(H13="Yes",IF(SUM($B$10:H10)/(SUM($B$6:H6)+SUM($B$9:H9))&lt;0,999.99,SUM($B$10:H10)/(SUM($B$6:H6)+SUM($B$9:H9))),"")</f>
        <v>0.1018987886354684</v>
      </c>
      <c r="I12" s="82">
        <f>IF(I13="Yes",IF(SUM($B$10:I10)/(SUM($B$6:I6)+SUM($B$9:I9))&lt;0,999.99,SUM($B$10:I10)/(SUM($B$6:I6)+SUM($B$9:I9))),"")</f>
        <v>0.1128208216661798</v>
      </c>
      <c r="J12" s="82">
        <f>IF(J13="Yes",IF(SUM($B$10:J10)/(SUM($B$6:J6)+SUM($B$9:J9))&lt;0,999.99,SUM($B$10:J10)/(SUM($B$6:J6)+SUM($B$9:J9))),"")</f>
        <v>0.1217551207213621</v>
      </c>
      <c r="K12" s="82">
        <f>IF(K13="Yes",IF(SUM($B$10:K10)/(SUM($B$6:K6)+SUM($B$9:K9))&lt;0,999.99,SUM($B$10:K10)/(SUM($B$6:K6)+SUM($B$9:K9))),"")</f>
        <v>0.1294969642056761</v>
      </c>
      <c r="L12" s="82">
        <f>IF(L13="Yes",IF(SUM($B$10:L10)/(SUM($B$6:L6)+SUM($B$9:L9))&lt;0,999.99,SUM($B$10:L10)/(SUM($B$6:L6)+SUM($B$9:L9))),"")</f>
        <v>0.1361814712985761</v>
      </c>
      <c r="M12" s="82">
        <f>IF(M13="Yes",IF(SUM($B$10:M10)/(SUM($B$6:M6)+SUM($B$9:M9))&lt;0,999.99,SUM($B$10:M10)/(SUM($B$6:M6)+SUM($B$9:M9))),"")</f>
        <v>0.1390096693017081</v>
      </c>
      <c r="N12" s="82">
        <f>IF(N13="Yes",IF(SUM($B$10:N10)/(SUM($B$6:N6)+SUM($B$9:N9))&lt;0,999.99,SUM($B$10:N10)/(SUM($B$6:N6)+SUM($B$9:N9))),"")</f>
        <v>0.1438555581522924</v>
      </c>
      <c r="O12" s="82">
        <f>IF(O13="Yes",IF(SUM($B$10:O10)/(SUM($B$6:O6)+SUM($B$9:O9))&lt;0,999.99,SUM($B$10:O10)/(SUM($B$6:O6)+SUM($B$9:O9))),"")</f>
        <v>0.1489222405424128</v>
      </c>
      <c r="P12" s="82">
        <f>IF(P13="Yes",IF(SUM($B$10:P10)/(SUM($B$6:P6)+SUM($B$9:P9))&lt;0,999.99,SUM($B$10:P10)/(SUM($B$6:P6)+SUM($B$9:P9))),"")</f>
        <v>0.1531398244362562</v>
      </c>
      <c r="Q12" s="82">
        <f>IF(Q13="Yes",IF(SUM($B$10:Q10)/(SUM($B$6:Q6)+SUM($B$9:Q9))&lt;0,999.99,SUM($B$10:Q10)/(SUM($B$6:Q6)+SUM($B$9:Q9))),"")</f>
        <v>0.1569950213855968</v>
      </c>
      <c r="R12" s="82">
        <f>IF(R13="Yes",IF(SUM($B$10:R10)/(SUM($B$6:R6)+SUM($B$9:R9))&lt;0,999.99,SUM($B$10:R10)/(SUM($B$6:R6)+SUM($B$9:R9))),"")</f>
        <v>0.1604525563462381</v>
      </c>
      <c r="S12" s="82">
        <f>IF(S13="Yes",IF(SUM($B$10:S10)/(SUM($B$6:S6)+SUM($B$9:S9))&lt;0,999.99,SUM($B$10:S10)/(SUM($B$6:S6)+SUM($B$9:S9))),"")</f>
        <v>0.1610715539908797</v>
      </c>
      <c r="T12" s="82">
        <f>IF(T13="Yes",IF(SUM($B$10:T10)/(SUM($B$6:T6)+SUM($B$9:T9))&lt;0,999.99,SUM($B$10:T10)/(SUM($B$6:T6)+SUM($B$9:T9))),"")</f>
        <v>0.1636773384542544</v>
      </c>
      <c r="U12" s="82">
        <f>IF(U13="Yes",IF(SUM($B$10:U10)/(SUM($B$6:U6)+SUM($B$9:U9))&lt;0,999.99,SUM($B$10:U10)/(SUM($B$6:U6)+SUM($B$9:U9))),"")</f>
        <v>0.1667033147077469</v>
      </c>
      <c r="V12" s="82">
        <f>IF(V13="Yes",IF(SUM($B$10:V10)/(SUM($B$6:V6)+SUM($B$9:V9))&lt;0,999.99,SUM($B$10:V10)/(SUM($B$6:V6)+SUM($B$9:V9))),"")</f>
        <v>0.169209208493718</v>
      </c>
      <c r="W12" s="82">
        <f>IF(W13="Yes",IF(SUM($B$10:W10)/(SUM($B$6:W6)+SUM($B$9:W9))&lt;0,999.99,SUM($B$10:W10)/(SUM($B$6:W6)+SUM($B$9:W9))),"")</f>
        <v>0.1715676470793356</v>
      </c>
      <c r="X12" s="82">
        <f>IF(X13="Yes",IF(SUM($B$10:X10)/(SUM($B$6:X6)+SUM($B$9:X9))&lt;0,999.99,SUM($B$10:X10)/(SUM($B$6:X6)+SUM($B$9:X9))),"")</f>
        <v>0.1737218839118491</v>
      </c>
      <c r="Y12" s="82">
        <f>IF(Y13="Yes",IF(SUM($B$10:Y10)/(SUM($B$6:Y6)+SUM($B$9:Y9))&lt;0,999.99,SUM($B$10:Y10)/(SUM($B$6:Y6)+SUM($B$9:Y9))),"")</f>
        <v>0.1735946358833292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17947.76859842747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17947.76859842747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17947.76859842747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17947.76859842747</v>
      </c>
      <c r="Z18" s="36">
        <f>SUMIF($B$13:$Y$13,"Yes",B18:Y18)</f>
        <v>71791.07439370987</v>
      </c>
      <c r="AA18" s="36">
        <f>SUM(B18:M18)</f>
        <v>35895.53719685494</v>
      </c>
      <c r="AB18" s="36">
        <f>SUM(B18:Y18)</f>
        <v>71791.07439370987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120500</v>
      </c>
      <c r="C29" s="37">
        <f>Inputs!$B$30</f>
        <v>120500</v>
      </c>
      <c r="D29" s="37">
        <f>Inputs!$B$30</f>
        <v>120500</v>
      </c>
      <c r="E29" s="37">
        <f>Inputs!$B$30</f>
        <v>120500</v>
      </c>
      <c r="F29" s="37">
        <f>Inputs!$B$30</f>
        <v>120500</v>
      </c>
      <c r="G29" s="37">
        <f>Inputs!$B$30</f>
        <v>120500</v>
      </c>
      <c r="H29" s="37">
        <f>Inputs!$B$30</f>
        <v>120500</v>
      </c>
      <c r="I29" s="37">
        <f>Inputs!$B$30</f>
        <v>120500</v>
      </c>
      <c r="J29" s="37">
        <f>Inputs!$B$30</f>
        <v>120500</v>
      </c>
      <c r="K29" s="37">
        <f>Inputs!$B$30</f>
        <v>120500</v>
      </c>
      <c r="L29" s="37">
        <f>Inputs!$B$30</f>
        <v>120500</v>
      </c>
      <c r="M29" s="37">
        <f>Inputs!$B$30</f>
        <v>120500</v>
      </c>
      <c r="N29" s="37">
        <f>Inputs!$B$30</f>
        <v>120500</v>
      </c>
      <c r="O29" s="37">
        <f>Inputs!$B$30</f>
        <v>120500</v>
      </c>
      <c r="P29" s="37">
        <f>Inputs!$B$30</f>
        <v>120500</v>
      </c>
      <c r="Q29" s="37">
        <f>Inputs!$B$30</f>
        <v>120500</v>
      </c>
      <c r="R29" s="37">
        <f>Inputs!$B$30</f>
        <v>120500</v>
      </c>
      <c r="S29" s="37">
        <f>Inputs!$B$30</f>
        <v>120500</v>
      </c>
      <c r="T29" s="37">
        <f>Inputs!$B$30</f>
        <v>120500</v>
      </c>
      <c r="U29" s="37">
        <f>Inputs!$B$30</f>
        <v>120500</v>
      </c>
      <c r="V29" s="37">
        <f>Inputs!$B$30</f>
        <v>120500</v>
      </c>
      <c r="W29" s="37">
        <f>Inputs!$B$30</f>
        <v>120500</v>
      </c>
      <c r="X29" s="37">
        <f>Inputs!$B$30</f>
        <v>120500</v>
      </c>
      <c r="Y29" s="37">
        <f>Inputs!$B$30</f>
        <v>120500</v>
      </c>
      <c r="Z29" s="37">
        <f>SUMIF($B$13:$Y$13,"Yes",B29:Y29)</f>
        <v>2892000</v>
      </c>
      <c r="AA29" s="37">
        <f>SUM(B29:M29)</f>
        <v>1446000</v>
      </c>
      <c r="AB29" s="37">
        <f>SUM(B29:Y29)</f>
        <v>2892000</v>
      </c>
    </row>
    <row r="30" spans="1:30" customHeight="1" ht="15.75">
      <c r="A30" s="1" t="s">
        <v>37</v>
      </c>
      <c r="B30" s="19">
        <f>SUM(B18:B29)</f>
        <v>120500</v>
      </c>
      <c r="C30" s="19">
        <f>SUM(C18:C29)</f>
        <v>120500</v>
      </c>
      <c r="D30" s="19">
        <f>SUM(D18:D29)</f>
        <v>120500</v>
      </c>
      <c r="E30" s="19">
        <f>SUM(E18:E29)</f>
        <v>120500</v>
      </c>
      <c r="F30" s="19">
        <f>SUM(F18:F29)</f>
        <v>120500</v>
      </c>
      <c r="G30" s="19">
        <f>SUM(G18:G29)</f>
        <v>138447.7685984275</v>
      </c>
      <c r="H30" s="19">
        <f>SUM(H18:H29)</f>
        <v>120500</v>
      </c>
      <c r="I30" s="19">
        <f>SUM(I18:I29)</f>
        <v>120500</v>
      </c>
      <c r="J30" s="19">
        <f>SUM(J18:J29)</f>
        <v>120500</v>
      </c>
      <c r="K30" s="19">
        <f>SUM(K18:K29)</f>
        <v>120500</v>
      </c>
      <c r="L30" s="19">
        <f>SUM(L18:L29)</f>
        <v>120500</v>
      </c>
      <c r="M30" s="19">
        <f>SUM(M18:M29)</f>
        <v>138447.7685984275</v>
      </c>
      <c r="N30" s="19">
        <f>SUM(N18:N29)</f>
        <v>120500</v>
      </c>
      <c r="O30" s="19">
        <f>SUM(O18:O29)</f>
        <v>120500</v>
      </c>
      <c r="P30" s="19">
        <f>SUM(P18:P29)</f>
        <v>120500</v>
      </c>
      <c r="Q30" s="19">
        <f>SUM(Q18:Q29)</f>
        <v>120500</v>
      </c>
      <c r="R30" s="19">
        <f>SUM(R18:R29)</f>
        <v>120500</v>
      </c>
      <c r="S30" s="19">
        <f>SUM(S18:S29)</f>
        <v>138447.7685984275</v>
      </c>
      <c r="T30" s="19">
        <f>SUM(T18:T29)</f>
        <v>120500</v>
      </c>
      <c r="U30" s="19">
        <f>SUM(U18:U29)</f>
        <v>120500</v>
      </c>
      <c r="V30" s="19">
        <f>SUM(V18:V29)</f>
        <v>120500</v>
      </c>
      <c r="W30" s="19">
        <f>SUM(W18:W29)</f>
        <v>120500</v>
      </c>
      <c r="X30" s="19">
        <f>SUM(X18:X29)</f>
        <v>120500</v>
      </c>
      <c r="Y30" s="19">
        <f>SUM(Y18:Y29)</f>
        <v>138447.7685984275</v>
      </c>
      <c r="Z30" s="19">
        <f>SUMIF($B$13:$Y$13,"Yes",B30:Y30)</f>
        <v>2963791.07439371</v>
      </c>
      <c r="AA30" s="19">
        <f>SUM(B30:M30)</f>
        <v>1481895.537196855</v>
      </c>
      <c r="AB30" s="19">
        <f>SUM(B30:Y30)</f>
        <v>2963791.07439371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303.0000000000001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303.0000000000001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303.0000000000001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303.0000000000001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303.0000000000001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303.0000000000001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303.0000000000001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303.0000000000001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300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300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300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300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300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300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300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300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1000</v>
      </c>
      <c r="D60" s="36">
        <f>P60</f>
        <v>1000</v>
      </c>
      <c r="E60" s="36">
        <f>Q60</f>
        <v>1000</v>
      </c>
      <c r="F60" s="36">
        <f>R60</f>
        <v>1000</v>
      </c>
      <c r="G60" s="36">
        <f>S60</f>
        <v>1000</v>
      </c>
      <c r="H60" s="36">
        <f>T60</f>
        <v>0</v>
      </c>
      <c r="I60" s="36">
        <f>U60</f>
        <v>1000</v>
      </c>
      <c r="J60" s="36">
        <f>V60</f>
        <v>1000</v>
      </c>
      <c r="K60" s="36">
        <f>W60</f>
        <v>1000</v>
      </c>
      <c r="L60" s="36">
        <f>X60</f>
        <v>1000</v>
      </c>
      <c r="M60" s="36">
        <f>Y60</f>
        <v>1000</v>
      </c>
      <c r="N60" s="46">
        <f>SUM(N61:N65)</f>
        <v>0</v>
      </c>
      <c r="O60" s="46">
        <f>SUM(O61:O65)</f>
        <v>1000</v>
      </c>
      <c r="P60" s="46">
        <f>SUM(P61:P65)</f>
        <v>1000</v>
      </c>
      <c r="Q60" s="46">
        <f>SUM(Q61:Q65)</f>
        <v>1000</v>
      </c>
      <c r="R60" s="46">
        <f>SUM(R61:R65)</f>
        <v>1000</v>
      </c>
      <c r="S60" s="46">
        <f>SUM(S61:S65)</f>
        <v>1000</v>
      </c>
      <c r="T60" s="46">
        <f>SUM(T61:T65)</f>
        <v>0</v>
      </c>
      <c r="U60" s="46">
        <f>SUM(U61:U65)</f>
        <v>1000</v>
      </c>
      <c r="V60" s="46">
        <f>SUM(V61:V65)</f>
        <v>1000</v>
      </c>
      <c r="W60" s="46">
        <f>SUM(W61:W65)</f>
        <v>1000</v>
      </c>
      <c r="X60" s="46">
        <f>SUM(X61:X65)</f>
        <v>1000</v>
      </c>
      <c r="Y60" s="46">
        <f>SUM(Y61:Y65)</f>
        <v>1000</v>
      </c>
      <c r="Z60" s="46">
        <f>SUMIF($B$13:$Y$13,"Yes",B60:Y60)</f>
        <v>20000</v>
      </c>
      <c r="AA60" s="46">
        <f>SUM(B60:M60)</f>
        <v>10000</v>
      </c>
      <c r="AB60" s="46">
        <f>SUM(B60:Y60)</f>
        <v>20000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1000</v>
      </c>
      <c r="D61" s="36">
        <f>P61</f>
        <v>1000</v>
      </c>
      <c r="E61" s="36">
        <f>Q61</f>
        <v>1000</v>
      </c>
      <c r="F61" s="36">
        <f>R61</f>
        <v>1000</v>
      </c>
      <c r="G61" s="36">
        <f>S61</f>
        <v>1000</v>
      </c>
      <c r="H61" s="36">
        <f>T61</f>
        <v>0</v>
      </c>
      <c r="I61" s="36">
        <f>U61</f>
        <v>1000</v>
      </c>
      <c r="J61" s="36">
        <f>V61</f>
        <v>1000</v>
      </c>
      <c r="K61" s="36">
        <f>W61</f>
        <v>1000</v>
      </c>
      <c r="L61" s="36">
        <f>X61</f>
        <v>1000</v>
      </c>
      <c r="M61" s="36">
        <f>Y61</f>
        <v>1000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1000</v>
      </c>
      <c r="Z61" s="46">
        <f>SUMIF($B$13:$Y$13,"Yes",B61:Y61)</f>
        <v>20000</v>
      </c>
      <c r="AA61" s="46">
        <f>SUM(B61:M61)</f>
        <v>10000</v>
      </c>
      <c r="AB61" s="46">
        <f>SUM(B61:Y61)</f>
        <v>20000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1536</v>
      </c>
      <c r="D66" s="36">
        <f>P66</f>
        <v>1536</v>
      </c>
      <c r="E66" s="36">
        <f>Q66</f>
        <v>1536</v>
      </c>
      <c r="F66" s="36">
        <f>R66</f>
        <v>1536</v>
      </c>
      <c r="G66" s="36">
        <f>S66</f>
        <v>1536</v>
      </c>
      <c r="H66" s="36">
        <f>T66</f>
        <v>0</v>
      </c>
      <c r="I66" s="36">
        <f>U66</f>
        <v>1536</v>
      </c>
      <c r="J66" s="36">
        <f>V66</f>
        <v>1536</v>
      </c>
      <c r="K66" s="36">
        <f>W66</f>
        <v>1536</v>
      </c>
      <c r="L66" s="36">
        <f>X66</f>
        <v>1536</v>
      </c>
      <c r="M66" s="36">
        <f>Y66</f>
        <v>1536</v>
      </c>
      <c r="N66" s="46">
        <f>SUM(N67:N71)</f>
        <v>0</v>
      </c>
      <c r="O66" s="46">
        <f>SUM(O67:O71)</f>
        <v>1536</v>
      </c>
      <c r="P66" s="46">
        <f>SUM(P67:P71)</f>
        <v>1536</v>
      </c>
      <c r="Q66" s="46">
        <f>SUM(Q67:Q71)</f>
        <v>1536</v>
      </c>
      <c r="R66" s="46">
        <f>SUM(R67:R71)</f>
        <v>1536</v>
      </c>
      <c r="S66" s="46">
        <f>SUM(S67:S71)</f>
        <v>1536</v>
      </c>
      <c r="T66" s="46">
        <f>SUM(T67:T71)</f>
        <v>0</v>
      </c>
      <c r="U66" s="46">
        <f>SUM(U67:U71)</f>
        <v>1536</v>
      </c>
      <c r="V66" s="46">
        <f>SUM(V67:V71)</f>
        <v>1536</v>
      </c>
      <c r="W66" s="46">
        <f>SUM(W67:W71)</f>
        <v>1536</v>
      </c>
      <c r="X66" s="46">
        <f>SUM(X67:X71)</f>
        <v>1536</v>
      </c>
      <c r="Y66" s="46">
        <f>SUM(Y67:Y71)</f>
        <v>1536</v>
      </c>
      <c r="Z66" s="46">
        <f>SUMIF($B$13:$Y$13,"Yes",B66:Y66)</f>
        <v>30720</v>
      </c>
      <c r="AA66" s="46">
        <f>SUM(B66:M66)</f>
        <v>15360</v>
      </c>
      <c r="AB66" s="46">
        <f>SUM(B66:Y66)</f>
        <v>30720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1536</v>
      </c>
      <c r="D67" s="36">
        <f>P67</f>
        <v>1536</v>
      </c>
      <c r="E67" s="36">
        <f>Q67</f>
        <v>1536</v>
      </c>
      <c r="F67" s="36">
        <f>R67</f>
        <v>1536</v>
      </c>
      <c r="G67" s="36">
        <f>S67</f>
        <v>1536</v>
      </c>
      <c r="H67" s="36">
        <f>T67</f>
        <v>0</v>
      </c>
      <c r="I67" s="36">
        <f>U67</f>
        <v>1536</v>
      </c>
      <c r="J67" s="36">
        <f>V67</f>
        <v>1536</v>
      </c>
      <c r="K67" s="36">
        <f>W67</f>
        <v>1536</v>
      </c>
      <c r="L67" s="36">
        <f>X67</f>
        <v>1536</v>
      </c>
      <c r="M67" s="36">
        <f>Y67</f>
        <v>1536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1536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1536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1536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1536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1536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1536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1536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1536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1536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1536</v>
      </c>
      <c r="Z67" s="46">
        <f>SUMIF($B$13:$Y$13,"Yes",B67:Y67)</f>
        <v>30720</v>
      </c>
      <c r="AA67" s="46">
        <f>SUM(B67:M67)</f>
        <v>15360</v>
      </c>
      <c r="AB67" s="46">
        <f>SUM(B67:Y67)</f>
        <v>30720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20800</v>
      </c>
      <c r="C79" s="46">
        <f>Inputs!$B$31</f>
        <v>20800</v>
      </c>
      <c r="D79" s="46">
        <f>Inputs!$B$31</f>
        <v>20800</v>
      </c>
      <c r="E79" s="46">
        <f>Inputs!$B$31</f>
        <v>20800</v>
      </c>
      <c r="F79" s="46">
        <f>Inputs!$B$31</f>
        <v>20800</v>
      </c>
      <c r="G79" s="46">
        <f>Inputs!$B$31</f>
        <v>20800</v>
      </c>
      <c r="H79" s="46">
        <f>Inputs!$B$31</f>
        <v>20800</v>
      </c>
      <c r="I79" s="46">
        <f>Inputs!$B$31</f>
        <v>20800</v>
      </c>
      <c r="J79" s="46">
        <f>Inputs!$B$31</f>
        <v>20800</v>
      </c>
      <c r="K79" s="46">
        <f>Inputs!$B$31</f>
        <v>20800</v>
      </c>
      <c r="L79" s="46">
        <f>Inputs!$B$31</f>
        <v>20800</v>
      </c>
      <c r="M79" s="46">
        <f>Inputs!$B$31</f>
        <v>20800</v>
      </c>
      <c r="N79" s="46">
        <f>Inputs!$B$31</f>
        <v>20800</v>
      </c>
      <c r="O79" s="46">
        <f>Inputs!$B$31</f>
        <v>20800</v>
      </c>
      <c r="P79" s="46">
        <f>Inputs!$B$31</f>
        <v>20800</v>
      </c>
      <c r="Q79" s="46">
        <f>Inputs!$B$31</f>
        <v>20800</v>
      </c>
      <c r="R79" s="46">
        <f>Inputs!$B$31</f>
        <v>20800</v>
      </c>
      <c r="S79" s="46">
        <f>Inputs!$B$31</f>
        <v>20800</v>
      </c>
      <c r="T79" s="46">
        <f>Inputs!$B$31</f>
        <v>20800</v>
      </c>
      <c r="U79" s="46">
        <f>Inputs!$B$31</f>
        <v>20800</v>
      </c>
      <c r="V79" s="46">
        <f>Inputs!$B$31</f>
        <v>20800</v>
      </c>
      <c r="W79" s="46">
        <f>Inputs!$B$31</f>
        <v>20800</v>
      </c>
      <c r="X79" s="46">
        <f>Inputs!$B$31</f>
        <v>20800</v>
      </c>
      <c r="Y79" s="46">
        <f>Inputs!$B$31</f>
        <v>20800</v>
      </c>
      <c r="Z79" s="46">
        <f>SUMIF($B$13:$Y$13,"Yes",B79:Y79)</f>
        <v>499200</v>
      </c>
      <c r="AA79" s="46">
        <f>SUM(B79:M79)</f>
        <v>249600</v>
      </c>
      <c r="AB79" s="46">
        <f>SUM(B79:Y79)</f>
        <v>499200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40057.65123989517</v>
      </c>
      <c r="C81" s="46">
        <f>(SUM($AA$18:$AA$29)-SUM($AA$36,$AA$42,$AA$48,$AA$54,$AA$60,$AA$66,$AA$72:$AA$79))*Parameters!$B$37/12</f>
        <v>40057.65123989517</v>
      </c>
      <c r="D81" s="46">
        <f>(SUM($AA$18:$AA$29)-SUM($AA$36,$AA$42,$AA$48,$AA$54,$AA$60,$AA$66,$AA$72:$AA$79))*Parameters!$B$37/12</f>
        <v>40057.65123989517</v>
      </c>
      <c r="E81" s="46">
        <f>(SUM($AA$18:$AA$29)-SUM($AA$36,$AA$42,$AA$48,$AA$54,$AA$60,$AA$66,$AA$72:$AA$79))*Parameters!$B$37/12</f>
        <v>40057.65123989517</v>
      </c>
      <c r="F81" s="46">
        <f>(SUM($AA$18:$AA$29)-SUM($AA$36,$AA$42,$AA$48,$AA$54,$AA$60,$AA$66,$AA$72:$AA$79))*Parameters!$B$37/12</f>
        <v>40057.65123989517</v>
      </c>
      <c r="G81" s="46">
        <f>(SUM($AA$18:$AA$29)-SUM($AA$36,$AA$42,$AA$48,$AA$54,$AA$60,$AA$66,$AA$72:$AA$79))*Parameters!$B$37/12</f>
        <v>40057.65123989517</v>
      </c>
      <c r="H81" s="46">
        <f>(SUM($AA$18:$AA$29)-SUM($AA$36,$AA$42,$AA$48,$AA$54,$AA$60,$AA$66,$AA$72:$AA$79))*Parameters!$B$37/12</f>
        <v>40057.65123989517</v>
      </c>
      <c r="I81" s="46">
        <f>(SUM($AA$18:$AA$29)-SUM($AA$36,$AA$42,$AA$48,$AA$54,$AA$60,$AA$66,$AA$72:$AA$79))*Parameters!$B$37/12</f>
        <v>40057.65123989517</v>
      </c>
      <c r="J81" s="46">
        <f>(SUM($AA$18:$AA$29)-SUM($AA$36,$AA$42,$AA$48,$AA$54,$AA$60,$AA$66,$AA$72:$AA$79))*Parameters!$B$37/12</f>
        <v>40057.65123989517</v>
      </c>
      <c r="K81" s="46">
        <f>(SUM($AA$18:$AA$29)-SUM($AA$36,$AA$42,$AA$48,$AA$54,$AA$60,$AA$66,$AA$72:$AA$79))*Parameters!$B$37/12</f>
        <v>40057.65123989517</v>
      </c>
      <c r="L81" s="46">
        <f>(SUM($AA$18:$AA$29)-SUM($AA$36,$AA$42,$AA$48,$AA$54,$AA$60,$AA$66,$AA$72:$AA$79))*Parameters!$B$37/12</f>
        <v>40057.65123989517</v>
      </c>
      <c r="M81" s="46">
        <f>(SUM($AA$18:$AA$29)-SUM($AA$36,$AA$42,$AA$48,$AA$54,$AA$60,$AA$66,$AA$72:$AA$79))*Parameters!$B$37/12</f>
        <v>40057.65123989517</v>
      </c>
      <c r="N81" s="46">
        <f>(SUM($AA$18:$AA$29)-SUM($AA$36,$AA$42,$AA$48,$AA$54,$AA$60,$AA$66,$AA$72:$AA$79))*Parameters!$B$37/12</f>
        <v>40057.65123989517</v>
      </c>
      <c r="O81" s="46">
        <f>(SUM($AA$18:$AA$29)-SUM($AA$36,$AA$42,$AA$48,$AA$54,$AA$60,$AA$66,$AA$72:$AA$79))*Parameters!$B$37/12</f>
        <v>40057.65123989517</v>
      </c>
      <c r="P81" s="46">
        <f>(SUM($AA$18:$AA$29)-SUM($AA$36,$AA$42,$AA$48,$AA$54,$AA$60,$AA$66,$AA$72:$AA$79))*Parameters!$B$37/12</f>
        <v>40057.65123989517</v>
      </c>
      <c r="Q81" s="46">
        <f>(SUM($AA$18:$AA$29)-SUM($AA$36,$AA$42,$AA$48,$AA$54,$AA$60,$AA$66,$AA$72:$AA$79))*Parameters!$B$37/12</f>
        <v>40057.65123989517</v>
      </c>
      <c r="R81" s="46">
        <f>(SUM($AA$18:$AA$29)-SUM($AA$36,$AA$42,$AA$48,$AA$54,$AA$60,$AA$66,$AA$72:$AA$79))*Parameters!$B$37/12</f>
        <v>40057.65123989517</v>
      </c>
      <c r="S81" s="46">
        <f>(SUM($AA$18:$AA$29)-SUM($AA$36,$AA$42,$AA$48,$AA$54,$AA$60,$AA$66,$AA$72:$AA$79))*Parameters!$B$37/12</f>
        <v>40057.65123989517</v>
      </c>
      <c r="T81" s="46">
        <f>(SUM($AA$18:$AA$29)-SUM($AA$36,$AA$42,$AA$48,$AA$54,$AA$60,$AA$66,$AA$72:$AA$79))*Parameters!$B$37/12</f>
        <v>40057.65123989517</v>
      </c>
      <c r="U81" s="46">
        <f>(SUM($AA$18:$AA$29)-SUM($AA$36,$AA$42,$AA$48,$AA$54,$AA$60,$AA$66,$AA$72:$AA$79))*Parameters!$B$37/12</f>
        <v>40057.65123989517</v>
      </c>
      <c r="V81" s="46">
        <f>(SUM($AA$18:$AA$29)-SUM($AA$36,$AA$42,$AA$48,$AA$54,$AA$60,$AA$66,$AA$72:$AA$79))*Parameters!$B$37/12</f>
        <v>40057.65123989517</v>
      </c>
      <c r="W81" s="46">
        <f>(SUM($AA$18:$AA$29)-SUM($AA$36,$AA$42,$AA$48,$AA$54,$AA$60,$AA$66,$AA$72:$AA$79))*Parameters!$B$37/12</f>
        <v>40057.65123989517</v>
      </c>
      <c r="X81" s="46">
        <f>(SUM($AA$18:$AA$29)-SUM($AA$36,$AA$42,$AA$48,$AA$54,$AA$60,$AA$66,$AA$72:$AA$79))*Parameters!$B$37/12</f>
        <v>40057.65123989517</v>
      </c>
      <c r="Y81" s="46">
        <f>(SUM($AA$18:$AA$29)-SUM($AA$36,$AA$42,$AA$48,$AA$54,$AA$60,$AA$66,$AA$72:$AA$79))*Parameters!$B$37/12</f>
        <v>40057.65123989517</v>
      </c>
      <c r="Z81" s="46">
        <f>SUMIF($B$13:$Y$13,"Yes",B81:Y81)</f>
        <v>961383.6297574837</v>
      </c>
      <c r="AA81" s="46">
        <f>SUM(B81:M81)</f>
        <v>480691.8148787419</v>
      </c>
      <c r="AB81" s="46">
        <f>SUM(B81:Y81)</f>
        <v>961383.6297574837</v>
      </c>
    </row>
    <row r="82" spans="1:30">
      <c r="A82" s="16" t="s">
        <v>52</v>
      </c>
      <c r="B82" s="46">
        <f>SUM(B83:B87)</f>
        <v>6813.963963963964</v>
      </c>
      <c r="C82" s="46">
        <f>SUM(C83:C87)</f>
        <v>6813.963963963964</v>
      </c>
      <c r="D82" s="46">
        <f>SUM(D83:D87)</f>
        <v>6813.963963963964</v>
      </c>
      <c r="E82" s="46">
        <f>SUM(E83:E87)</f>
        <v>6813.963963963964</v>
      </c>
      <c r="F82" s="46">
        <f>SUM(F83:F87)</f>
        <v>6813.963963963964</v>
      </c>
      <c r="G82" s="46">
        <f>SUM(G83:G87)</f>
        <v>6813.963963963964</v>
      </c>
      <c r="H82" s="46">
        <f>SUM(H83:H87)</f>
        <v>6813.963963963964</v>
      </c>
      <c r="I82" s="46">
        <f>SUM(I83:I87)</f>
        <v>6813.963963963964</v>
      </c>
      <c r="J82" s="46">
        <f>SUM(J83:J87)</f>
        <v>6813.963963963964</v>
      </c>
      <c r="K82" s="46">
        <f>SUM(K83:K87)</f>
        <v>6813.963963963964</v>
      </c>
      <c r="L82" s="46">
        <f>SUM(L83:L87)</f>
        <v>6813.963963963964</v>
      </c>
      <c r="M82" s="46">
        <f>SUM(M83:M87)</f>
        <v>6813.963963963964</v>
      </c>
      <c r="N82" s="46">
        <f>SUM(N83:N87)</f>
        <v>6813.963963963964</v>
      </c>
      <c r="O82" s="46">
        <f>SUM(O83:O87)</f>
        <v>6813.963963963964</v>
      </c>
      <c r="P82" s="46">
        <f>SUM(P83:P87)</f>
        <v>6813.963963963964</v>
      </c>
      <c r="Q82" s="46">
        <f>SUM(Q83:Q87)</f>
        <v>6813.963963963964</v>
      </c>
      <c r="R82" s="46">
        <f>SUM(R83:R87)</f>
        <v>6813.963963963964</v>
      </c>
      <c r="S82" s="46">
        <f>SUM(S83:S87)</f>
        <v>6813.963963963964</v>
      </c>
      <c r="T82" s="46">
        <f>SUM(T83:T87)</f>
        <v>6813.963963963964</v>
      </c>
      <c r="U82" s="46">
        <f>SUM(U83:U87)</f>
        <v>6813.963963963964</v>
      </c>
      <c r="V82" s="46">
        <f>SUM(V83:V87)</f>
        <v>6813.963963963964</v>
      </c>
      <c r="W82" s="46">
        <f>SUM(W83:W87)</f>
        <v>6813.963963963964</v>
      </c>
      <c r="X82" s="46">
        <f>SUM(X83:X87)</f>
        <v>6813.963963963964</v>
      </c>
      <c r="Y82" s="46">
        <f>SUM(Y83:Y87)</f>
        <v>6813.963963963964</v>
      </c>
      <c r="Z82" s="46">
        <f>SUMIF($B$13:$Y$13,"Yes",B82:Y82)</f>
        <v>163535.1351351351</v>
      </c>
      <c r="AA82" s="46">
        <f>SUM(B82:M82)</f>
        <v>81767.56756756757</v>
      </c>
      <c r="AB82" s="46">
        <f>SUM(B82:Y82)</f>
        <v>163535.1351351351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6813.963963963964</v>
      </c>
      <c r="C83" s="46">
        <f>IF(Calculations!$E23&gt;COUNT(Output!$B$35:C$35),Calculations!$B23,IF(Calculations!$E23=COUNT(Output!$B$35:C$35),Inputs!$B56-Calculations!$C23*(Calculations!$E23-1)+Calculations!$D23,0))</f>
        <v>6813.963963963964</v>
      </c>
      <c r="D83" s="46">
        <f>IF(Calculations!$E23&gt;COUNT(Output!$B$35:D$35),Calculations!$B23,IF(Calculations!$E23=COUNT(Output!$B$35:D$35),Inputs!$B56-Calculations!$C23*(Calculations!$E23-1)+Calculations!$D23,0))</f>
        <v>6813.963963963964</v>
      </c>
      <c r="E83" s="46">
        <f>IF(Calculations!$E23&gt;COUNT(Output!$B$35:E$35),Calculations!$B23,IF(Calculations!$E23=COUNT(Output!$B$35:E$35),Inputs!$B56-Calculations!$C23*(Calculations!$E23-1)+Calculations!$D23,0))</f>
        <v>6813.963963963964</v>
      </c>
      <c r="F83" s="46">
        <f>IF(Calculations!$E23&gt;COUNT(Output!$B$35:F$35),Calculations!$B23,IF(Calculations!$E23=COUNT(Output!$B$35:F$35),Inputs!$B56-Calculations!$C23*(Calculations!$E23-1)+Calculations!$D23,0))</f>
        <v>6813.963963963964</v>
      </c>
      <c r="G83" s="46">
        <f>IF(Calculations!$E23&gt;COUNT(Output!$B$35:G$35),Calculations!$B23,IF(Calculations!$E23=COUNT(Output!$B$35:G$35),Inputs!$B56-Calculations!$C23*(Calculations!$E23-1)+Calculations!$D23,0))</f>
        <v>6813.963963963964</v>
      </c>
      <c r="H83" s="46">
        <f>IF(Calculations!$E23&gt;COUNT(Output!$B$35:H$35),Calculations!$B23,IF(Calculations!$E23=COUNT(Output!$B$35:H$35),Inputs!$B56-Calculations!$C23*(Calculations!$E23-1)+Calculations!$D23,0))</f>
        <v>6813.963963963964</v>
      </c>
      <c r="I83" s="46">
        <f>IF(Calculations!$E23&gt;COUNT(Output!$B$35:I$35),Calculations!$B23,IF(Calculations!$E23=COUNT(Output!$B$35:I$35),Inputs!$B56-Calculations!$C23*(Calculations!$E23-1)+Calculations!$D23,0))</f>
        <v>6813.963963963964</v>
      </c>
      <c r="J83" s="46">
        <f>IF(Calculations!$E23&gt;COUNT(Output!$B$35:J$35),Calculations!$B23,IF(Calculations!$E23=COUNT(Output!$B$35:J$35),Inputs!$B56-Calculations!$C23*(Calculations!$E23-1)+Calculations!$D23,0))</f>
        <v>6813.963963963964</v>
      </c>
      <c r="K83" s="46">
        <f>IF(Calculations!$E23&gt;COUNT(Output!$B$35:K$35),Calculations!$B23,IF(Calculations!$E23=COUNT(Output!$B$35:K$35),Inputs!$B56-Calculations!$C23*(Calculations!$E23-1)+Calculations!$D23,0))</f>
        <v>6813.963963963964</v>
      </c>
      <c r="L83" s="46">
        <f>IF(Calculations!$E23&gt;COUNT(Output!$B$35:L$35),Calculations!$B23,IF(Calculations!$E23=COUNT(Output!$B$35:L$35),Inputs!$B56-Calculations!$C23*(Calculations!$E23-1)+Calculations!$D23,0))</f>
        <v>6813.963963963964</v>
      </c>
      <c r="M83" s="46">
        <f>IF(Calculations!$E23&gt;COUNT(Output!$B$35:M$35),Calculations!$B23,IF(Calculations!$E23=COUNT(Output!$B$35:M$35),Inputs!$B56-Calculations!$C23*(Calculations!$E23-1)+Calculations!$D23,0))</f>
        <v>6813.963963963964</v>
      </c>
      <c r="N83" s="46">
        <f>IF(Calculations!$E23&gt;COUNT(Output!$B$35:N$35),Calculations!$B23,IF(Calculations!$E23=COUNT(Output!$B$35:N$35),Inputs!$B56-Calculations!$C23*(Calculations!$E23-1)+Calculations!$D23,0))</f>
        <v>6813.963963963964</v>
      </c>
      <c r="O83" s="46">
        <f>IF(Calculations!$E23&gt;COUNT(Output!$B$35:O$35),Calculations!$B23,IF(Calculations!$E23=COUNT(Output!$B$35:O$35),Inputs!$B56-Calculations!$C23*(Calculations!$E23-1)+Calculations!$D23,0))</f>
        <v>6813.963963963964</v>
      </c>
      <c r="P83" s="46">
        <f>IF(Calculations!$E23&gt;COUNT(Output!$B$35:P$35),Calculations!$B23,IF(Calculations!$E23=COUNT(Output!$B$35:P$35),Inputs!$B56-Calculations!$C23*(Calculations!$E23-1)+Calculations!$D23,0))</f>
        <v>6813.963963963964</v>
      </c>
      <c r="Q83" s="46">
        <f>IF(Calculations!$E23&gt;COUNT(Output!$B$35:Q$35),Calculations!$B23,IF(Calculations!$E23=COUNT(Output!$B$35:Q$35),Inputs!$B56-Calculations!$C23*(Calculations!$E23-1)+Calculations!$D23,0))</f>
        <v>6813.963963963964</v>
      </c>
      <c r="R83" s="46">
        <f>IF(Calculations!$E23&gt;COUNT(Output!$B$35:R$35),Calculations!$B23,IF(Calculations!$E23=COUNT(Output!$B$35:R$35),Inputs!$B56-Calculations!$C23*(Calculations!$E23-1)+Calculations!$D23,0))</f>
        <v>6813.963963963964</v>
      </c>
      <c r="S83" s="46">
        <f>IF(Calculations!$E23&gt;COUNT(Output!$B$35:S$35),Calculations!$B23,IF(Calculations!$E23=COUNT(Output!$B$35:S$35),Inputs!$B56-Calculations!$C23*(Calculations!$E23-1)+Calculations!$D23,0))</f>
        <v>6813.963963963964</v>
      </c>
      <c r="T83" s="46">
        <f>IF(Calculations!$E23&gt;COUNT(Output!$B$35:T$35),Calculations!$B23,IF(Calculations!$E23=COUNT(Output!$B$35:T$35),Inputs!$B56-Calculations!$C23*(Calculations!$E23-1)+Calculations!$D23,0))</f>
        <v>6813.963963963964</v>
      </c>
      <c r="U83" s="46">
        <f>IF(Calculations!$E23&gt;COUNT(Output!$B$35:U$35),Calculations!$B23,IF(Calculations!$E23=COUNT(Output!$B$35:U$35),Inputs!$B56-Calculations!$C23*(Calculations!$E23-1)+Calculations!$D23,0))</f>
        <v>6813.963963963964</v>
      </c>
      <c r="V83" s="46">
        <f>IF(Calculations!$E23&gt;COUNT(Output!$B$35:V$35),Calculations!$B23,IF(Calculations!$E23=COUNT(Output!$B$35:V$35),Inputs!$B56-Calculations!$C23*(Calculations!$E23-1)+Calculations!$D23,0))</f>
        <v>6813.963963963964</v>
      </c>
      <c r="W83" s="46">
        <f>IF(Calculations!$E23&gt;COUNT(Output!$B$35:W$35),Calculations!$B23,IF(Calculations!$E23=COUNT(Output!$B$35:W$35),Inputs!$B56-Calculations!$C23*(Calculations!$E23-1)+Calculations!$D23,0))</f>
        <v>6813.963963963964</v>
      </c>
      <c r="X83" s="46">
        <f>IF(Calculations!$E23&gt;COUNT(Output!$B$35:X$35),Calculations!$B23,IF(Calculations!$E23=COUNT(Output!$B$35:X$35),Inputs!$B56-Calculations!$C23*(Calculations!$E23-1)+Calculations!$D23,0))</f>
        <v>6813.963963963964</v>
      </c>
      <c r="Y83" s="46">
        <f>IF(Calculations!$E23&gt;COUNT(Output!$B$35:Y$35),Calculations!$B23,IF(Calculations!$E23=COUNT(Output!$B$35:Y$35),Inputs!$B56-Calculations!$C23*(Calculations!$E23-1)+Calculations!$D23,0))</f>
        <v>6813.963963963964</v>
      </c>
      <c r="Z83" s="46">
        <f>SUMIF($B$13:$Y$13,"Yes",B83:Y83)</f>
        <v>163535.1351351351</v>
      </c>
      <c r="AA83" s="46">
        <f>SUM(B83:M83)</f>
        <v>81767.56756756757</v>
      </c>
      <c r="AB83" s="46">
        <f>SUM(B83:Y83)</f>
        <v>163535.1351351351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67671.61520385914</v>
      </c>
      <c r="C88" s="19">
        <f>SUM(C72:C82,C66,C60,C54,C48,C42,C36)</f>
        <v>72510.61520385914</v>
      </c>
      <c r="D88" s="19">
        <f>SUM(D72:D82,D66,D60,D54,D48,D42,D36)</f>
        <v>70207.61520385914</v>
      </c>
      <c r="E88" s="19">
        <f>SUM(E72:E82,E66,E60,E54,E48,E42,E36)</f>
        <v>70507.61520385914</v>
      </c>
      <c r="F88" s="19">
        <f>SUM(F72:F82,F66,F60,F54,F48,F42,F36)</f>
        <v>70207.61520385914</v>
      </c>
      <c r="G88" s="19">
        <f>SUM(G72:G82,G66,G60,G54,G48,G42,G36)</f>
        <v>70207.61520385914</v>
      </c>
      <c r="H88" s="19">
        <f>SUM(H72:H82,H66,H60,H54,H48,H42,H36)</f>
        <v>67671.61520385914</v>
      </c>
      <c r="I88" s="19">
        <f>SUM(I72:I82,I66,I60,I54,I48,I42,I36)</f>
        <v>72510.61520385914</v>
      </c>
      <c r="J88" s="19">
        <f>SUM(J72:J82,J66,J60,J54,J48,J42,J36)</f>
        <v>70207.61520385914</v>
      </c>
      <c r="K88" s="19">
        <f>SUM(K72:K82,K66,K60,K54,K48,K42,K36)</f>
        <v>70507.61520385914</v>
      </c>
      <c r="L88" s="19">
        <f>SUM(L72:L82,L66,L60,L54,L48,L42,L36)</f>
        <v>70207.61520385914</v>
      </c>
      <c r="M88" s="19">
        <f>SUM(M72:M82,M66,M60,M54,M48,M42,M36)</f>
        <v>70207.61520385914</v>
      </c>
      <c r="N88" s="19">
        <f>SUM(N72:N82,N66,N60,N54,N48,N42,N36)</f>
        <v>67671.61520385914</v>
      </c>
      <c r="O88" s="19">
        <f>SUM(O72:O82,O66,O60,O54,O48,O42,O36)</f>
        <v>72510.61520385914</v>
      </c>
      <c r="P88" s="19">
        <f>SUM(P72:P82,P66,P60,P54,P48,P42,P36)</f>
        <v>70207.61520385914</v>
      </c>
      <c r="Q88" s="19">
        <f>SUM(Q72:Q82,Q66,Q60,Q54,Q48,Q42,Q36)</f>
        <v>70507.61520385914</v>
      </c>
      <c r="R88" s="19">
        <f>SUM(R72:R82,R66,R60,R54,R48,R42,R36)</f>
        <v>70207.61520385914</v>
      </c>
      <c r="S88" s="19">
        <f>SUM(S72:S82,S66,S60,S54,S48,S42,S36)</f>
        <v>70207.61520385914</v>
      </c>
      <c r="T88" s="19">
        <f>SUM(T72:T82,T66,T60,T54,T48,T42,T36)</f>
        <v>67671.61520385914</v>
      </c>
      <c r="U88" s="19">
        <f>SUM(U72:U82,U66,U60,U54,U48,U42,U36)</f>
        <v>72510.61520385914</v>
      </c>
      <c r="V88" s="19">
        <f>SUM(V72:V82,V66,V60,V54,V48,V42,V36)</f>
        <v>70207.61520385914</v>
      </c>
      <c r="W88" s="19">
        <f>SUM(W72:W82,W66,W60,W54,W48,W42,W36)</f>
        <v>70507.61520385914</v>
      </c>
      <c r="X88" s="19">
        <f>SUM(X72:X82,X66,X60,X54,X48,X42,X36)</f>
        <v>70207.61520385914</v>
      </c>
      <c r="Y88" s="19">
        <f>SUM(Y72:Y82,Y66,Y60,Y54,Y48,Y42,Y36)</f>
        <v>70207.61520385914</v>
      </c>
      <c r="Z88" s="19">
        <f>SUMIF($B$13:$Y$13,"Yes",B88:Y88)</f>
        <v>1685250.764892619</v>
      </c>
      <c r="AA88" s="19">
        <f>SUM(B88:M88)</f>
        <v>842625.3824463099</v>
      </c>
      <c r="AB88" s="19">
        <f>SUM(B88:Y88)</f>
        <v>1685250.764892619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27500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67500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363035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563035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20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120500</v>
      </c>
    </row>
    <row r="31" spans="1:48">
      <c r="A31" s="5" t="s">
        <v>114</v>
      </c>
      <c r="B31" s="158">
        <v>20800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127</v>
      </c>
    </row>
    <row r="45" spans="1:48">
      <c r="A45" s="56" t="s">
        <v>128</v>
      </c>
      <c r="B45" s="161"/>
    </row>
    <row r="46" spans="1:48" customHeight="1" ht="30">
      <c r="A46" s="57" t="s">
        <v>129</v>
      </c>
      <c r="B46" s="161">
        <v>67500</v>
      </c>
    </row>
    <row r="47" spans="1:48" customHeight="1" ht="30">
      <c r="A47" s="57" t="s">
        <v>130</v>
      </c>
      <c r="B47" s="161">
        <v>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27500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350000</v>
      </c>
      <c r="B56" s="159">
        <v>347060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>
        <v>15000</v>
      </c>
      <c r="B57" s="157">
        <v>15975</v>
      </c>
      <c r="C57" s="164" t="s">
        <v>144</v>
      </c>
      <c r="D57" s="165" t="s">
        <v>145</v>
      </c>
      <c r="E57" s="165" t="s">
        <v>92</v>
      </c>
      <c r="F57" s="165" t="s">
        <v>143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147</v>
      </c>
      <c r="C65" s="10" t="s">
        <v>148</v>
      </c>
    </row>
    <row r="66" spans="1:48">
      <c r="A66" s="142" t="s">
        <v>149</v>
      </c>
      <c r="B66" s="159">
        <v>1264862</v>
      </c>
      <c r="C66" s="163">
        <v>1228416</v>
      </c>
      <c r="D66" s="49">
        <f>INDEX(Parameters!$D$79:$D$90,MATCH(Inputs!A66,Parameters!$C$79:$C$90,0))</f>
        <v>1</v>
      </c>
    </row>
    <row r="67" spans="1:48">
      <c r="A67" s="143" t="s">
        <v>150</v>
      </c>
      <c r="B67" s="157">
        <v>439457</v>
      </c>
      <c r="C67" s="165">
        <v>442170</v>
      </c>
      <c r="D67" s="49">
        <f>INDEX(Parameters!$D$79:$D$90,MATCH(Inputs!A67,Parameters!$C$79:$C$90,0))</f>
        <v>12</v>
      </c>
    </row>
    <row r="68" spans="1:48">
      <c r="A68" s="143" t="s">
        <v>151</v>
      </c>
      <c r="B68" s="157">
        <v>690528</v>
      </c>
      <c r="C68" s="165">
        <v>694682</v>
      </c>
      <c r="D68" s="49">
        <f>INDEX(Parameters!$D$79:$D$90,MATCH(Inputs!A68,Parameters!$C$79:$C$90,0))</f>
        <v>11</v>
      </c>
    </row>
    <row r="69" spans="1:48">
      <c r="A69" s="143" t="s">
        <v>152</v>
      </c>
      <c r="B69" s="157">
        <v>587302</v>
      </c>
      <c r="C69" s="165">
        <v>584718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601450</v>
      </c>
      <c r="C70" s="165">
        <v>601881</v>
      </c>
      <c r="D70" s="49">
        <f>INDEX(Parameters!$D$79:$D$90,MATCH(Inputs!A70,Parameters!$C$79:$C$90,0))</f>
        <v>9</v>
      </c>
    </row>
    <row r="71" spans="1:48">
      <c r="A71" s="144" t="s">
        <v>154</v>
      </c>
      <c r="B71" s="158">
        <v>184581</v>
      </c>
      <c r="C71" s="167">
        <v>195290</v>
      </c>
      <c r="D71" s="49">
        <f>INDEX(Parameters!$D$79:$D$90,MATCH(Inputs!A71,Parameters!$C$79:$C$90,0))</f>
        <v>8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18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200000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24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949.6173861601835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35895.53719685494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350000</v>
      </c>
      <c r="B23" s="75">
        <f>SUM(C23:D23)</f>
        <v>6813.963963963964</v>
      </c>
      <c r="C23" s="75">
        <f>IF(Inputs!B56&gt;0,(Inputs!A56-Inputs!B56)/(DATE(YEAR(Inputs!$B$76),MONTH(Inputs!$B$76),DAY(Inputs!$B$76))-DATE(YEAR(Inputs!C56),MONTH(Inputs!C56),DAY(Inputs!C56)))*30,0)</f>
        <v>397.2972972972973</v>
      </c>
      <c r="D23" s="75">
        <f>IF(Inputs!B56&gt;0,Inputs!A56*0.22/12,0)</f>
        <v>6416.666666666667</v>
      </c>
      <c r="E23" s="75">
        <f>IFERROR(ROUNDUP(Inputs!B56/C23,0),0)</f>
        <v>874</v>
      </c>
    </row>
    <row r="24" spans="1:52">
      <c r="A24" s="46">
        <f>Inputs!A57</f>
        <v>15000</v>
      </c>
      <c r="B24" s="46">
        <f>SUM(C24:D24)</f>
        <v>-895</v>
      </c>
      <c r="C24" s="46">
        <f>IF(Inputs!B57&gt;0,(Inputs!A57-Inputs!B57)/(DATE(YEAR(Inputs!$B$76),MONTH(Inputs!$B$76),DAY(Inputs!$B$76))-DATE(YEAR(Inputs!C57),MONTH(Inputs!C57),DAY(Inputs!C57)))*30,0)</f>
        <v>-1170</v>
      </c>
      <c r="D24" s="46">
        <f>IF(Inputs!B57&gt;0,Inputs!A57*0.22/12,0)</f>
        <v>275</v>
      </c>
      <c r="E24" s="46">
        <f>IFERROR(ROUNDUP(Inputs!B57/B24,0),0)</f>
        <v>-18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43193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43191</v>
      </c>
      <c r="F33" t="s">
        <v>160</v>
      </c>
      <c r="G33" s="128">
        <f>IF(Inputs!B79="","",DATE(YEAR(Inputs!B79),MONTH(Inputs!B79),DAY(Inputs!B79)))</f>
        <v>43158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43223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43221</v>
      </c>
      <c r="F34" t="s">
        <v>162</v>
      </c>
      <c r="G34" s="128">
        <f>IF(Inputs!B80="","",DATE(YEAR(Inputs!B80),MONTH(Inputs!B80),DAY(Inputs!B80)))</f>
        <v>43193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43254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43252</v>
      </c>
      <c r="F35" t="s">
        <v>164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43284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43282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43315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43313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43346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43344</v>
      </c>
      <c r="F38" t="s">
        <v>227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43376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43374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43407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43405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43437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43435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43468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43466</v>
      </c>
      <c r="F42" t="s">
        <v>229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43499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43527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43558</v>
      </c>
      <c r="C45" s="27">
        <f>IF(B45&lt;&gt;"",IF(COUNT($A$33:A45)&lt;=$G$39,0,$G$41)+IF(COUNT($A$33:A45)&lt;=$G$40,0,$G$42),0)</f>
        <v>11666.66666666667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43588</v>
      </c>
      <c r="C46" s="27">
        <f>IF(B46&lt;&gt;"",IF(COUNT($A$33:A46)&lt;=$G$39,0,$G$41)+IF(COUNT($A$33:A46)&lt;=$G$40,0,$G$42),0)</f>
        <v>11666.66666666667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43619</v>
      </c>
      <c r="C47" s="27">
        <f>IF(B47&lt;&gt;"",IF(COUNT($A$33:A47)&lt;=$G$39,0,$G$41)+IF(COUNT($A$33:A47)&lt;=$G$40,0,$G$42),0)</f>
        <v>11666.66666666667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43649</v>
      </c>
      <c r="C48" s="27">
        <f>IF(B48&lt;&gt;"",IF(COUNT($A$33:A48)&lt;=$G$39,0,$G$41)+IF(COUNT($A$33:A48)&lt;=$G$40,0,$G$42),0)</f>
        <v>11666.66666666667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43680</v>
      </c>
      <c r="C49" s="27">
        <f>IF(B49&lt;&gt;"",IF(COUNT($A$33:A49)&lt;=$G$39,0,$G$41)+IF(COUNT($A$33:A49)&lt;=$G$40,0,$G$42),0)</f>
        <v>11666.66666666667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43711</v>
      </c>
      <c r="C50" s="27">
        <f>IF(B50&lt;&gt;"",IF(COUNT($A$33:A50)&lt;=$G$39,0,$G$41)+IF(COUNT($A$33:A50)&lt;=$G$40,0,$G$42),0)</f>
        <v>11666.66666666667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43741</v>
      </c>
      <c r="C51" s="27">
        <f>IF(B51&lt;&gt;"",IF(COUNT($A$33:A51)&lt;=$G$39,0,$G$41)+IF(COUNT($A$33:A51)&lt;=$G$40,0,$G$42),0)</f>
        <v>11666.66666666667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43772</v>
      </c>
      <c r="C52" s="27">
        <f>IF(B52&lt;&gt;"",IF(COUNT($A$33:A52)&lt;=$G$39,0,$G$41)+IF(COUNT($A$33:A52)&lt;=$G$40,0,$G$42),0)</f>
        <v>11666.66666666667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43802</v>
      </c>
      <c r="C53" s="27">
        <f>IF(B53&lt;&gt;"",IF(COUNT($A$33:A53)&lt;=$G$39,0,$G$41)+IF(COUNT($A$33:A53)&lt;=$G$40,0,$G$42),0)</f>
        <v>11666.66666666667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43833</v>
      </c>
      <c r="C54" s="27">
        <f>IF(B54&lt;&gt;"",IF(COUNT($A$33:A54)&lt;=$G$39,0,$G$41)+IF(COUNT($A$33:A54)&lt;=$G$40,0,$G$42),0)</f>
        <v>11666.66666666667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43864</v>
      </c>
      <c r="C55" s="27">
        <f>IF(B55&lt;&gt;"",IF(COUNT($A$33:A55)&lt;=$G$39,0,$G$41)+IF(COUNT($A$33:A55)&lt;=$G$40,0,$G$42),0)</f>
        <v>11666.66666666667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43893</v>
      </c>
      <c r="C56" s="27">
        <f>IF(B56&lt;&gt;"",IF(COUNT($A$33:A56)&lt;=$G$39,0,$G$41)+IF(COUNT($A$33:A56)&lt;=$G$40,0,$G$42),0)</f>
        <v>11666.66666666667</v>
      </c>
      <c r="D56" s="170">
        <f>IFERROR(DATE(YEAR(B56),MONTH(B56),1)," ")</f>
        <v>43891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127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316</v>
      </c>
      <c r="H52" s="12" t="s">
        <v>125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230</v>
      </c>
      <c r="E53" s="10" t="s">
        <v>189</v>
      </c>
      <c r="F53" s="10" t="s">
        <v>249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127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127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127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127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127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127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127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167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226</v>
      </c>
      <c r="J76" s="11" t="s">
        <v>350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127</v>
      </c>
      <c r="F77" s="12" t="s">
        <v>127</v>
      </c>
      <c r="G77" s="12" t="s">
        <v>352</v>
      </c>
      <c r="H77" s="12" t="s">
        <v>125</v>
      </c>
      <c r="I77" s="12" t="s">
        <v>353</v>
      </c>
      <c r="J77" s="136" t="s">
        <v>354</v>
      </c>
      <c r="K77" s="12" t="s">
        <v>127</v>
      </c>
      <c r="AJ77" s="12"/>
    </row>
    <row r="78" spans="1:36">
      <c r="A78" t="s">
        <v>127</v>
      </c>
      <c r="B78" s="176">
        <v>5</v>
      </c>
      <c r="C78" s="134" t="s">
        <v>355</v>
      </c>
      <c r="D78" s="133"/>
      <c r="E78" s="12" t="s">
        <v>356</v>
      </c>
      <c r="F78" s="12" t="s">
        <v>93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127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167</v>
      </c>
      <c r="J79" s="70" t="s">
        <v>363</v>
      </c>
      <c r="K79" s="12" t="s">
        <v>127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365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