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<sst xmlns="http://schemas.openxmlformats.org/spreadsheetml/2006/main" uniqueCount="372">
  <si>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</si>
  <si>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</si>
  <si>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</si>
  <si>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</si>
  <si>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</si>
  <si>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</si>
  <si>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</si>
  <si>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</si>
  <si>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</si>
  <si>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</si>
  <si>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</si>
  <si>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</si>
  <si>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</si>
  <si>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</si>
  <si>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</si>
  <si>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</si>
  <si>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</si>
  <si>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</si>
  <si>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</si>
  <si>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</si>
  <si>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</si>
  <si>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</si>
  <si>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</si>
  <si>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</si>
  <si>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</si>
  <si>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</si>
  <si>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</si>
  <si>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</si>
  <si>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</si>
  <si>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</si>
  <si>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</si>
  <si>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</si>
  <si>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</si>
  <si>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</si>
  <si>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</si>
  <si>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</si>
  <si>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</si>
  <si>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</si>
  <si>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</si>
  <si>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</si>
  <si>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</si>
  <si>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</si>
  <si>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</si>
  <si>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</si>
  <si>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</si>
  <si>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</si>
  <si>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</si>
  <si>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</si>
  <si>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</si>
  <si>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</si>
  <si>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</si>
  <si>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</si>
  <si>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</si>
  <si>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</si>
  <si>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</si>
  <si>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</si>
  <si>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</si>
  <si>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</si>
  <si>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</si>
  <si>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</si>
  <si>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</si>
  <si>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</si>
  <si>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</si>
  <si>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</si>
  <si>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</si>
  <si>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</si>
  <si>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</si>
  <si>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</si>
  <si>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</si>
  <si>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</si>
  <si>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</si>
  <si>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</si>
  <si>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</si>
  <si>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</si>
  <si>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</si>
  <si>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</si>
  <si>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</si>
  <si>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</si>
  <si>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</si>
  <si>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</si>
  <si>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</si>
  <si>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</si>
  <si>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</si>
  <si>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</si>
  <si>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</si>
  <si>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</si>
  <si>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</si>
  <si>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</si>
  <si>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</si>
  <si>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</si>
  <si>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NGO</t>
  </si>
  <si>
    <t>Yes both manure and inorganic</t>
  </si>
  <si>
    <t>Yes</t>
  </si>
  <si>
    <t>No</t>
  </si>
  <si>
    <t>no planting_trees are mature</t>
  </si>
  <si>
    <t>Tomatoes</t>
  </si>
  <si>
    <t>Shop_common variety</t>
  </si>
  <si>
    <t>Yes without the use of a pump</t>
  </si>
  <si>
    <t>Other crops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</si>
  <si>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</si>
  <si>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</si>
  <si>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</si>
  <si>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</si>
  <si>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</si>
  <si>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</si>
  <si>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</si>
  <si>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</si>
  <si>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</si>
  <si>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</si>
  <si>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</si>
  <si>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</si>
  <si>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</si>
  <si>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</si>
  <si>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</si>
  <si>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</si>
  <si>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</si>
  <si>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Cows_dairy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</si>
  <si>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</si>
  <si>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</si>
  <si>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</si>
  <si>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</si>
  <si>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</si>
  <si>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</si>
  <si>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</si>
  <si>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</si>
  <si>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</si>
  <si>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</si>
  <si>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</si>
  <si>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</si>
  <si>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</si>
  <si>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</si>
  <si>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</si>
  <si>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</si>
  <si>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</si>
  <si>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</si>
  <si>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</si>
  <si>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</si>
  <si>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</si>
  <si>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</si>
  <si>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</si>
  <si>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</si>
  <si>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</si>
  <si>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</si>
  <si>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</si>
  <si>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</si>
  <si>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</si>
  <si>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</si>
  <si>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</si>
  <si>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</si>
  <si>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</si>
  <si>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6/3/2017</t>
  </si>
  <si>
    <t>Musoni kenya</t>
  </si>
  <si>
    <t>cleared</t>
  </si>
  <si>
    <t>11/2/2018</t>
  </si>
  <si>
    <t>Mshwari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</si>
  <si>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</si>
  <si>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</si>
  <si>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</si>
  <si>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</si>
  <si>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</si>
  <si>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</si>
  <si>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</si>
  <si>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</si>
  <si>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</si>
  <si>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</si>
  <si>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</si>
  <si>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</si>
  <si>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2018/2/27</t>
  </si>
  <si>
    <t>Loan terms</t>
  </si>
  <si>
    <t>Expected disbursement date</t>
  </si>
  <si>
    <t>Expected first repayment date</t>
  </si>
  <si>
    <t>2018/4/4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</si>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</sst>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Cows_dairy, Chicken_broilers, Chicken: sale of ex layers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0.05976128322579587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0.003493554993374292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10111.11111111111</v>
      </c>
    </row>
    <row r="17" spans="1:7">
      <c r="B17" s="1" t="s">
        <v>11</v>
      </c>
      <c r="C17" s="36">
        <f>SUM(Output!B6:M6)</f>
        <v>1743270</v>
      </c>
    </row>
    <row r="18" spans="1:7">
      <c r="B18" s="1" t="s">
        <v>12</v>
      </c>
      <c r="C18" s="36">
        <f>MIN(Output!B6:M6)</f>
        <v>145272.5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145272.5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53750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145272.5</v>
      </c>
      <c r="C6" s="51">
        <f>C30-C88</f>
        <v>145272.5</v>
      </c>
      <c r="D6" s="51">
        <f>D30-D88</f>
        <v>145272.5</v>
      </c>
      <c r="E6" s="51">
        <f>E30-E88</f>
        <v>145272.5</v>
      </c>
      <c r="F6" s="51">
        <f>F30-F88</f>
        <v>145272.5</v>
      </c>
      <c r="G6" s="51">
        <f>G30-G88</f>
        <v>145272.5</v>
      </c>
      <c r="H6" s="51">
        <f>H30-H88</f>
        <v>145272.5</v>
      </c>
      <c r="I6" s="51">
        <f>I30-I88</f>
        <v>145272.5</v>
      </c>
      <c r="J6" s="51">
        <f>J30-J88</f>
        <v>145272.5</v>
      </c>
      <c r="K6" s="51">
        <f>K30-K88</f>
        <v>145272.5</v>
      </c>
      <c r="L6" s="51">
        <f>L30-L88</f>
        <v>145272.5</v>
      </c>
      <c r="M6" s="51">
        <f>M30-M88</f>
        <v>145272.5</v>
      </c>
      <c r="N6" s="51">
        <f>N30-N88</f>
        <v>145272.5</v>
      </c>
      <c r="O6" s="51">
        <f>O30-O88</f>
        <v>145272.5</v>
      </c>
      <c r="P6" s="51">
        <f>P30-P88</f>
        <v>145272.5</v>
      </c>
      <c r="Q6" s="51">
        <f>Q30-Q88</f>
        <v>145272.5</v>
      </c>
      <c r="R6" s="51">
        <f>R30-R88</f>
        <v>145272.5</v>
      </c>
      <c r="S6" s="51">
        <f>S30-S88</f>
        <v>145272.5</v>
      </c>
      <c r="T6" s="51">
        <f>T30-T88</f>
        <v>145272.5</v>
      </c>
      <c r="U6" s="51">
        <f>U30-U88</f>
        <v>145272.5</v>
      </c>
      <c r="V6" s="51">
        <f>V30-V88</f>
        <v>145272.5</v>
      </c>
      <c r="W6" s="51">
        <f>W30-W88</f>
        <v>145272.5</v>
      </c>
      <c r="X6" s="51">
        <f>X30-X88</f>
        <v>145272.5</v>
      </c>
      <c r="Y6" s="51">
        <f>Y30-Y88</f>
        <v>145272.5</v>
      </c>
      <c r="Z6" s="51">
        <f>SUMIF($B$13:$Y$13,"Yes",B6:Y6)</f>
        <v>2905450</v>
      </c>
      <c r="AA6" s="51">
        <f>AA30-AA88</f>
        <v>1743270</v>
      </c>
      <c r="AB6" s="51">
        <f>AB30-AB88</f>
        <v>3486540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30006</v>
      </c>
      <c r="I7" s="80">
        <f>IF(ISERROR(VLOOKUP(MONTH(I5),Inputs!$D$66:$D$71,1,0)),"",INDEX(Inputs!$B$66:$B$71,MATCH(MONTH(Output!I5),Inputs!$D$66:$D$71,0))-INDEX(Inputs!$C$66:$C$71,MATCH(MONTH(Output!I5),Inputs!$D$66:$D$71,0)))</f>
        <v>32067</v>
      </c>
      <c r="J7" s="80">
        <f>IF(ISERROR(VLOOKUP(MONTH(J5),Inputs!$D$66:$D$71,1,0)),"",INDEX(Inputs!$B$66:$B$71,MATCH(MONTH(Output!J5),Inputs!$D$66:$D$71,0))-INDEX(Inputs!$C$66:$C$71,MATCH(MONTH(Output!J5),Inputs!$D$66:$D$71,0)))</f>
        <v>40465</v>
      </c>
      <c r="K7" s="80">
        <f>IF(ISERROR(VLOOKUP(MONTH(K5),Inputs!$D$66:$D$71,1,0)),"",INDEX(Inputs!$B$66:$B$71,MATCH(MONTH(Output!K5),Inputs!$D$66:$D$71,0))-INDEX(Inputs!$C$66:$C$71,MATCH(MONTH(Output!K5),Inputs!$D$66:$D$71,0)))</f>
        <v>32736</v>
      </c>
      <c r="L7" s="80">
        <f>IF(ISERROR(VLOOKUP(MONTH(L5),Inputs!$D$66:$D$71,1,0)),"",INDEX(Inputs!$B$66:$B$71,MATCH(MONTH(Output!L5),Inputs!$D$66:$D$71,0))-INDEX(Inputs!$C$66:$C$71,MATCH(MONTH(Output!L5),Inputs!$D$66:$D$71,0)))</f>
        <v>27210</v>
      </c>
      <c r="M7" s="80">
        <f>IF(ISERROR(VLOOKUP(MONTH(M5),Inputs!$D$66:$D$71,1,0)),"",INDEX(Inputs!$B$66:$B$71,MATCH(MONTH(Output!M5),Inputs!$D$66:$D$71,0))-INDEX(Inputs!$C$66:$C$71,MATCH(MONTH(Output!M5),Inputs!$D$66:$D$71,0)))</f>
        <v>28667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30006</v>
      </c>
      <c r="U7" s="80">
        <f>IF(ISERROR(VLOOKUP(MONTH(U5),Inputs!$D$66:$D$71,1,0)),"",INDEX(Inputs!$B$66:$B$71,MATCH(MONTH(Output!U5),Inputs!$D$66:$D$71,0))-INDEX(Inputs!$C$66:$C$71,MATCH(MONTH(Output!U5),Inputs!$D$66:$D$71,0)))</f>
        <v>32067</v>
      </c>
      <c r="V7" s="80">
        <f>IF(ISERROR(VLOOKUP(MONTH(V5),Inputs!$D$66:$D$71,1,0)),"",INDEX(Inputs!$B$66:$B$71,MATCH(MONTH(Output!V5),Inputs!$D$66:$D$71,0))-INDEX(Inputs!$C$66:$C$71,MATCH(MONTH(Output!V5),Inputs!$D$66:$D$71,0)))</f>
        <v>40465</v>
      </c>
      <c r="W7" s="80">
        <f>IF(ISERROR(VLOOKUP(MONTH(W5),Inputs!$D$66:$D$71,1,0)),"",INDEX(Inputs!$B$66:$B$71,MATCH(MONTH(Output!W5),Inputs!$D$66:$D$71,0))-INDEX(Inputs!$C$66:$C$71,MATCH(MONTH(Output!W5),Inputs!$D$66:$D$71,0)))</f>
        <v>32736</v>
      </c>
      <c r="X7" s="80">
        <f>IF(ISERROR(VLOOKUP(MONTH(X5),Inputs!$D$66:$D$71,1,0)),"",INDEX(Inputs!$B$66:$B$71,MATCH(MONTH(Output!X5),Inputs!$D$66:$D$71,0))-INDEX(Inputs!$C$66:$C$71,MATCH(MONTH(Output!X5),Inputs!$D$66:$D$71,0)))</f>
        <v>27210</v>
      </c>
      <c r="Y7" s="80">
        <f>IF(ISERROR(VLOOKUP(MONTH(Y5),Inputs!$D$66:$D$71,1,0)),"",INDEX(Inputs!$B$66:$B$71,MATCH(MONTH(Output!Y5),Inputs!$D$66:$D$71,0))-INDEX(Inputs!$C$66:$C$71,MATCH(MONTH(Output!Y5),Inputs!$D$66:$D$71,0)))</f>
        <v>28667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10111.11111111111</v>
      </c>
      <c r="E10" s="37">
        <f>SUMPRODUCT((Calculations!$D$33:$D$84=Output!E5)+0,Calculations!$C$33:$C$84)</f>
        <v>10111.11111111111</v>
      </c>
      <c r="F10" s="37">
        <f>SUMPRODUCT((Calculations!$D$33:$D$84=Output!F5)+0,Calculations!$C$33:$C$84)</f>
        <v>10111.11111111111</v>
      </c>
      <c r="G10" s="37">
        <f>SUMPRODUCT((Calculations!$D$33:$D$84=Output!G5)+0,Calculations!$C$33:$C$84)</f>
        <v>10111.11111111111</v>
      </c>
      <c r="H10" s="37">
        <f>SUMPRODUCT((Calculations!$D$33:$D$84=Output!H5)+0,Calculations!$C$33:$C$84)</f>
        <v>10111.11111111111</v>
      </c>
      <c r="I10" s="37">
        <f>SUMPRODUCT((Calculations!$D$33:$D$84=Output!I5)+0,Calculations!$C$33:$C$84)</f>
        <v>10111.11111111111</v>
      </c>
      <c r="J10" s="37">
        <f>SUMPRODUCT((Calculations!$D$33:$D$84=Output!J5)+0,Calculations!$C$33:$C$84)</f>
        <v>10111.11111111111</v>
      </c>
      <c r="K10" s="37">
        <f>SUMPRODUCT((Calculations!$D$33:$D$84=Output!K5)+0,Calculations!$C$33:$C$84)</f>
        <v>10111.11111111111</v>
      </c>
      <c r="L10" s="37">
        <f>SUMPRODUCT((Calculations!$D$33:$D$84=Output!L5)+0,Calculations!$C$33:$C$84)</f>
        <v>10111.11111111111</v>
      </c>
      <c r="M10" s="37">
        <f>SUMPRODUCT((Calculations!$D$33:$D$84=Output!M5)+0,Calculations!$C$33:$C$84)</f>
        <v>10111.11111111111</v>
      </c>
      <c r="N10" s="37">
        <f>SUMPRODUCT((Calculations!$D$33:$D$84=Output!N5)+0,Calculations!$C$33:$C$84)</f>
        <v>10111.11111111111</v>
      </c>
      <c r="O10" s="37">
        <f>SUMPRODUCT((Calculations!$D$33:$D$84=Output!O5)+0,Calculations!$C$33:$C$84)</f>
        <v>10111.11111111111</v>
      </c>
      <c r="P10" s="37">
        <f>SUMPRODUCT((Calculations!$D$33:$D$84=Output!P5)+0,Calculations!$C$33:$C$84)</f>
        <v>10111.11111111111</v>
      </c>
      <c r="Q10" s="37">
        <f>SUMPRODUCT((Calculations!$D$33:$D$84=Output!Q5)+0,Calculations!$C$33:$C$84)</f>
        <v>10111.11111111111</v>
      </c>
      <c r="R10" s="37">
        <f>SUMPRODUCT((Calculations!$D$33:$D$84=Output!R5)+0,Calculations!$C$33:$C$84)</f>
        <v>10111.11111111111</v>
      </c>
      <c r="S10" s="37">
        <f>SUMPRODUCT((Calculations!$D$33:$D$84=Output!S5)+0,Calculations!$C$33:$C$84)</f>
        <v>10111.11111111111</v>
      </c>
      <c r="T10" s="37">
        <f>SUMPRODUCT((Calculations!$D$33:$D$84=Output!T5)+0,Calculations!$C$33:$C$84)</f>
        <v>10111.11111111111</v>
      </c>
      <c r="U10" s="37">
        <f>SUMPRODUCT((Calculations!$D$33:$D$84=Output!U5)+0,Calculations!$C$33:$C$84)</f>
        <v>10111.11111111111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182000.0000000001</v>
      </c>
      <c r="AA10" s="37">
        <f>SUM(B10:M10)</f>
        <v>101111.1111111111</v>
      </c>
      <c r="AB10" s="37">
        <f>SUM(B10:Y10)</f>
        <v>182000.0000000001</v>
      </c>
    </row>
    <row r="11" spans="1:30" customHeight="1" ht="15.75">
      <c r="A11" s="43" t="s">
        <v>31</v>
      </c>
      <c r="B11" s="80">
        <f>B6+B9-B10</f>
        <v>285272.5</v>
      </c>
      <c r="C11" s="80">
        <f>C6+C9-C10</f>
        <v>145272.5</v>
      </c>
      <c r="D11" s="80">
        <f>D6+D9-D10</f>
        <v>135161.3888888889</v>
      </c>
      <c r="E11" s="80">
        <f>E6+E9-E10</f>
        <v>135161.3888888889</v>
      </c>
      <c r="F11" s="80">
        <f>F6+F9-F10</f>
        <v>135161.3888888889</v>
      </c>
      <c r="G11" s="80">
        <f>G6+G9-G10</f>
        <v>135161.3888888889</v>
      </c>
      <c r="H11" s="80">
        <f>H6+H9-H10</f>
        <v>135161.3888888889</v>
      </c>
      <c r="I11" s="80">
        <f>I6+I9-I10</f>
        <v>135161.3888888889</v>
      </c>
      <c r="J11" s="80">
        <f>J6+J9-J10</f>
        <v>135161.3888888889</v>
      </c>
      <c r="K11" s="80">
        <f>K6+K9-K10</f>
        <v>135161.3888888889</v>
      </c>
      <c r="L11" s="80">
        <f>L6+L9-L10</f>
        <v>135161.3888888889</v>
      </c>
      <c r="M11" s="80">
        <f>M6+M9-M10</f>
        <v>135161.3888888889</v>
      </c>
      <c r="N11" s="80">
        <f>N6+N9-N10</f>
        <v>135161.3888888889</v>
      </c>
      <c r="O11" s="80">
        <f>O6+O9-O10</f>
        <v>135161.3888888889</v>
      </c>
      <c r="P11" s="80">
        <f>P6+P9-P10</f>
        <v>135161.3888888889</v>
      </c>
      <c r="Q11" s="80">
        <f>Q6+Q9-Q10</f>
        <v>135161.3888888889</v>
      </c>
      <c r="R11" s="80">
        <f>R6+R9-R10</f>
        <v>135161.3888888889</v>
      </c>
      <c r="S11" s="80">
        <f>S6+S9-S10</f>
        <v>135161.3888888889</v>
      </c>
      <c r="T11" s="80">
        <f>T6+T9-T10</f>
        <v>135161.3888888889</v>
      </c>
      <c r="U11" s="80">
        <f>U6+U9-U10</f>
        <v>135161.3888888889</v>
      </c>
      <c r="V11" s="80">
        <f>V6+V9-V10</f>
        <v>145272.5</v>
      </c>
      <c r="W11" s="80">
        <f>W6+W9-W10</f>
        <v>145272.5</v>
      </c>
      <c r="X11" s="80">
        <f>X6+X9-X10</f>
        <v>145272.5</v>
      </c>
      <c r="Y11" s="80">
        <f>Y6+Y9-Y10</f>
        <v>145272.5</v>
      </c>
      <c r="Z11" s="85">
        <f>SUMIF($B$13:$Y$13,"Yes",B11:Y11)</f>
        <v>2863450.000000001</v>
      </c>
      <c r="AA11" s="80">
        <f>SUM(B11:M11)</f>
        <v>1782158.888888889</v>
      </c>
      <c r="AB11" s="46">
        <f>SUM(B11:Y11)</f>
        <v>3444540.000000001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0.01755957592659325</v>
      </c>
      <c r="E12" s="82">
        <f>IF(E13="Yes",IF(SUM($B$10:E10)/(SUM($B$6:E6)+SUM($B$9:E9))&lt;0,999.99,SUM($B$10:E10)/(SUM($B$6:E6)+SUM($B$9:E9))),"")</f>
        <v>0.02804396430712147</v>
      </c>
      <c r="F12" s="82">
        <f>IF(F13="Yes",IF(SUM($B$10:F10)/(SUM($B$6:F6)+SUM($B$9:F9))&lt;0,999.99,SUM($B$10:F10)/(SUM($B$6:F6)+SUM($B$9:F9))),"")</f>
        <v>0.03501228796644976</v>
      </c>
      <c r="G12" s="82">
        <f>IF(G13="Yes",IF(SUM($B$10:G10)/(SUM($B$6:G6)+SUM($B$9:G9))&lt;0,999.99,SUM($B$10:G10)/(SUM($B$6:G6)+SUM($B$9:G9))),"")</f>
        <v>0.039979285458139</v>
      </c>
      <c r="H12" s="82">
        <f>IF(H13="Yes",IF(SUM($B$10:H10)/(SUM($B$6:H6)+SUM($B$9:H9))&lt;0,999.99,SUM($B$10:H10)/(SUM($B$6:H6)+SUM($B$9:H9))),"")</f>
        <v>0.04369887441783855</v>
      </c>
      <c r="I12" s="82">
        <f>IF(I13="Yes",IF(SUM($B$10:I10)/(SUM($B$6:I6)+SUM($B$9:I9))&lt;0,999.99,SUM($B$10:I10)/(SUM($B$6:I6)+SUM($B$9:I9))),"")</f>
        <v>0.04658854126669635</v>
      </c>
      <c r="J12" s="82">
        <f>IF(J13="Yes",IF(SUM($B$10:J10)/(SUM($B$6:J6)+SUM($B$9:J9))&lt;0,999.99,SUM($B$10:J10)/(SUM($B$6:J6)+SUM($B$9:J9))),"")</f>
        <v>0.04889816956188736</v>
      </c>
      <c r="K12" s="82">
        <f>IF(K13="Yes",IF(SUM($B$10:K10)/(SUM($B$6:K6)+SUM($B$9:K9))&lt;0,999.99,SUM($B$10:K10)/(SUM($B$6:K6)+SUM($B$9:K9))),"")</f>
        <v>0.0507864753104829</v>
      </c>
      <c r="L12" s="82">
        <f>IF(L13="Yes",IF(SUM($B$10:L10)/(SUM($B$6:L6)+SUM($B$9:L9))&lt;0,999.99,SUM($B$10:L10)/(SUM($B$6:L6)+SUM($B$9:L9))),"")</f>
        <v>0.05235910868686519</v>
      </c>
      <c r="M12" s="82">
        <f>IF(M13="Yes",IF(SUM($B$10:M10)/(SUM($B$6:M6)+SUM($B$9:M9))&lt;0,999.99,SUM($B$10:M10)/(SUM($B$6:M6)+SUM($B$9:M9))),"")</f>
        <v>0.05368912110908744</v>
      </c>
      <c r="N12" s="82">
        <f>IF(N13="Yes",IF(SUM($B$10:N10)/(SUM($B$6:N6)+SUM($B$9:N9))&lt;0,999.99,SUM($B$10:N10)/(SUM($B$6:N6)+SUM($B$9:N9))),"")</f>
        <v>0.05482863791230512</v>
      </c>
      <c r="O12" s="82">
        <f>IF(O13="Yes",IF(SUM($B$10:O10)/(SUM($B$6:O6)+SUM($B$9:O9))&lt;0,999.99,SUM($B$10:O10)/(SUM($B$6:O6)+SUM($B$9:O9))),"")</f>
        <v>0.05581585062819666</v>
      </c>
      <c r="P12" s="82">
        <f>IF(P13="Yes",IF(SUM($B$10:P10)/(SUM($B$6:P6)+SUM($B$9:P9))&lt;0,999.99,SUM($B$10:P10)/(SUM($B$6:P6)+SUM($B$9:P9))),"")</f>
        <v>0.05667938119818438</v>
      </c>
      <c r="Q12" s="82">
        <f>IF(Q13="Yes",IF(SUM($B$10:Q10)/(SUM($B$6:Q6)+SUM($B$9:Q9))&lt;0,999.99,SUM($B$10:Q10)/(SUM($B$6:Q6)+SUM($B$9:Q9))),"")</f>
        <v>0.05744110258061141</v>
      </c>
      <c r="R12" s="82">
        <f>IF(R13="Yes",IF(SUM($B$10:R10)/(SUM($B$6:R6)+SUM($B$9:R9))&lt;0,999.99,SUM($B$10:R10)/(SUM($B$6:R6)+SUM($B$9:R9))),"")</f>
        <v>0.05811801725594185</v>
      </c>
      <c r="S12" s="82">
        <f>IF(S13="Yes",IF(SUM($B$10:S10)/(SUM($B$6:S6)+SUM($B$9:S9))&lt;0,999.99,SUM($B$10:S10)/(SUM($B$6:S6)+SUM($B$9:S9))),"")</f>
        <v>0.05872354138446799</v>
      </c>
      <c r="T12" s="82">
        <f>IF(T13="Yes",IF(SUM($B$10:T10)/(SUM($B$6:T6)+SUM($B$9:T9))&lt;0,999.99,SUM($B$10:T10)/(SUM($B$6:T6)+SUM($B$9:T9))),"")</f>
        <v>0.0592684030163288</v>
      </c>
      <c r="U12" s="82">
        <f>IF(U13="Yes",IF(SUM($B$10:U10)/(SUM($B$6:U6)+SUM($B$9:U9))&lt;0,999.99,SUM($B$10:U10)/(SUM($B$6:U6)+SUM($B$9:U9))),"")</f>
        <v>0.05976128322579587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76475</v>
      </c>
      <c r="C18" s="36">
        <f>O18</f>
        <v>76475</v>
      </c>
      <c r="D18" s="36">
        <f>P18</f>
        <v>76475</v>
      </c>
      <c r="E18" s="36">
        <f>Q18</f>
        <v>76475</v>
      </c>
      <c r="F18" s="36">
        <f>R18</f>
        <v>76475</v>
      </c>
      <c r="G18" s="36">
        <f>S18</f>
        <v>76475</v>
      </c>
      <c r="H18" s="36">
        <f>T18</f>
        <v>76475</v>
      </c>
      <c r="I18" s="36">
        <f>U18</f>
        <v>76475</v>
      </c>
      <c r="J18" s="36">
        <f>V18</f>
        <v>76475</v>
      </c>
      <c r="K18" s="36">
        <f>W18</f>
        <v>76475</v>
      </c>
      <c r="L18" s="36">
        <f>X18</f>
        <v>76475</v>
      </c>
      <c r="M18" s="36">
        <f>Y18</f>
        <v>76475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76475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76475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76475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76475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76475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76475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76475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76475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76475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76475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76475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76475</v>
      </c>
      <c r="Z18" s="36">
        <f>SUMIF($B$13:$Y$13,"Yes",B18:Y18)</f>
        <v>1529500</v>
      </c>
      <c r="AA18" s="36">
        <f>SUM(B18:M18)</f>
        <v>917700</v>
      </c>
      <c r="AB18" s="36">
        <f>SUM(B18:Y18)</f>
        <v>1835400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76000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33000</v>
      </c>
      <c r="C24" s="36">
        <f>IFERROR(Calculations!$P14/12,"")</f>
        <v>33000</v>
      </c>
      <c r="D24" s="36">
        <f>IFERROR(Calculations!$P14/12,"")</f>
        <v>33000</v>
      </c>
      <c r="E24" s="36">
        <f>IFERROR(Calculations!$P14/12,"")</f>
        <v>33000</v>
      </c>
      <c r="F24" s="36">
        <f>IFERROR(Calculations!$P14/12,"")</f>
        <v>33000</v>
      </c>
      <c r="G24" s="36">
        <f>IFERROR(Calculations!$P14/12,"")</f>
        <v>33000</v>
      </c>
      <c r="H24" s="36">
        <f>IFERROR(Calculations!$P14/12,"")</f>
        <v>33000</v>
      </c>
      <c r="I24" s="36">
        <f>IFERROR(Calculations!$P14/12,"")</f>
        <v>33000</v>
      </c>
      <c r="J24" s="36">
        <f>IFERROR(Calculations!$P14/12,"")</f>
        <v>33000</v>
      </c>
      <c r="K24" s="36">
        <f>IFERROR(Calculations!$P14/12,"")</f>
        <v>33000</v>
      </c>
      <c r="L24" s="36">
        <f>IFERROR(Calculations!$P14/12,"")</f>
        <v>33000</v>
      </c>
      <c r="M24" s="36">
        <f>IFERROR(Calculations!$P14/12,"")</f>
        <v>33000</v>
      </c>
      <c r="N24" s="36">
        <f>IFERROR(Calculations!$P14/12,"")</f>
        <v>33000</v>
      </c>
      <c r="O24" s="36">
        <f>IFERROR(Calculations!$P14/12,"")</f>
        <v>33000</v>
      </c>
      <c r="P24" s="36">
        <f>IFERROR(Calculations!$P14/12,"")</f>
        <v>33000</v>
      </c>
      <c r="Q24" s="36">
        <f>IFERROR(Calculations!$P14/12,"")</f>
        <v>33000</v>
      </c>
      <c r="R24" s="36">
        <f>IFERROR(Calculations!$P14/12,"")</f>
        <v>33000</v>
      </c>
      <c r="S24" s="36">
        <f>IFERROR(Calculations!$P14/12,"")</f>
        <v>33000</v>
      </c>
      <c r="T24" s="36">
        <f>IFERROR(Calculations!$P14/12,"")</f>
        <v>33000</v>
      </c>
      <c r="U24" s="36">
        <f>IFERROR(Calculations!$P14/12,"")</f>
        <v>33000</v>
      </c>
      <c r="V24" s="36">
        <f>IFERROR(Calculations!$P14/12,"")</f>
        <v>33000</v>
      </c>
      <c r="W24" s="36">
        <f>IFERROR(Calculations!$P14/12,"")</f>
        <v>33000</v>
      </c>
      <c r="X24" s="36">
        <f>IFERROR(Calculations!$P14/12,"")</f>
        <v>33000</v>
      </c>
      <c r="Y24" s="36">
        <f>IFERROR(Calculations!$P14/12,"")</f>
        <v>33000</v>
      </c>
      <c r="Z24" s="36">
        <f>SUMIF($B$13:$Y$13,"Yes",B24:Y24)</f>
        <v>660000</v>
      </c>
      <c r="AA24" s="36">
        <f>SUM(B24:M24)</f>
        <v>396000</v>
      </c>
      <c r="AB24" s="46">
        <f>SUM(B24:Y24)</f>
        <v>792000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47906.25</v>
      </c>
      <c r="C25" s="36">
        <f>IFERROR(Calculations!$P15/12,"")</f>
        <v>47906.25</v>
      </c>
      <c r="D25" s="36">
        <f>IFERROR(Calculations!$P15/12,"")</f>
        <v>47906.25</v>
      </c>
      <c r="E25" s="36">
        <f>IFERROR(Calculations!$P15/12,"")</f>
        <v>47906.25</v>
      </c>
      <c r="F25" s="36">
        <f>IFERROR(Calculations!$P15/12,"")</f>
        <v>47906.25</v>
      </c>
      <c r="G25" s="36">
        <f>IFERROR(Calculations!$P15/12,"")</f>
        <v>47906.25</v>
      </c>
      <c r="H25" s="36">
        <f>IFERROR(Calculations!$P15/12,"")</f>
        <v>47906.25</v>
      </c>
      <c r="I25" s="36">
        <f>IFERROR(Calculations!$P15/12,"")</f>
        <v>47906.25</v>
      </c>
      <c r="J25" s="36">
        <f>IFERROR(Calculations!$P15/12,"")</f>
        <v>47906.25</v>
      </c>
      <c r="K25" s="36">
        <f>IFERROR(Calculations!$P15/12,"")</f>
        <v>47906.25</v>
      </c>
      <c r="L25" s="36">
        <f>IFERROR(Calculations!$P15/12,"")</f>
        <v>47906.25</v>
      </c>
      <c r="M25" s="36">
        <f>IFERROR(Calculations!$P15/12,"")</f>
        <v>47906.25</v>
      </c>
      <c r="N25" s="36">
        <f>IFERROR(Calculations!$P15/12,"")</f>
        <v>47906.25</v>
      </c>
      <c r="O25" s="36">
        <f>IFERROR(Calculations!$P15/12,"")</f>
        <v>47906.25</v>
      </c>
      <c r="P25" s="36">
        <f>IFERROR(Calculations!$P15/12,"")</f>
        <v>47906.25</v>
      </c>
      <c r="Q25" s="36">
        <f>IFERROR(Calculations!$P15/12,"")</f>
        <v>47906.25</v>
      </c>
      <c r="R25" s="36">
        <f>IFERROR(Calculations!$P15/12,"")</f>
        <v>47906.25</v>
      </c>
      <c r="S25" s="36">
        <f>IFERROR(Calculations!$P15/12,"")</f>
        <v>47906.25</v>
      </c>
      <c r="T25" s="36">
        <f>IFERROR(Calculations!$P15/12,"")</f>
        <v>47906.25</v>
      </c>
      <c r="U25" s="36">
        <f>IFERROR(Calculations!$P15/12,"")</f>
        <v>47906.25</v>
      </c>
      <c r="V25" s="36">
        <f>IFERROR(Calculations!$P15/12,"")</f>
        <v>47906.25</v>
      </c>
      <c r="W25" s="36">
        <f>IFERROR(Calculations!$P15/12,"")</f>
        <v>47906.25</v>
      </c>
      <c r="X25" s="36">
        <f>IFERROR(Calculations!$P15/12,"")</f>
        <v>47906.25</v>
      </c>
      <c r="Y25" s="36">
        <f>IFERROR(Calculations!$P15/12,"")</f>
        <v>47906.25</v>
      </c>
      <c r="Z25" s="36">
        <f>SUMIF($B$13:$Y$13,"Yes",B25:Y25)</f>
        <v>958125</v>
      </c>
      <c r="AA25" s="36">
        <f>SUM(B25:M25)</f>
        <v>574875</v>
      </c>
      <c r="AB25" s="46">
        <f>SUM(B25:Y25)</f>
        <v>1149750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2400000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277381.25</v>
      </c>
      <c r="C30" s="19">
        <f>SUM(C18:C29)</f>
        <v>277381.25</v>
      </c>
      <c r="D30" s="19">
        <f>SUM(D18:D29)</f>
        <v>277381.25</v>
      </c>
      <c r="E30" s="19">
        <f>SUM(E18:E29)</f>
        <v>277381.25</v>
      </c>
      <c r="F30" s="19">
        <f>SUM(F18:F29)</f>
        <v>277381.25</v>
      </c>
      <c r="G30" s="19">
        <f>SUM(G18:G29)</f>
        <v>277381.25</v>
      </c>
      <c r="H30" s="19">
        <f>SUM(H18:H29)</f>
        <v>277381.25</v>
      </c>
      <c r="I30" s="19">
        <f>SUM(I18:I29)</f>
        <v>277381.25</v>
      </c>
      <c r="J30" s="19">
        <f>SUM(J18:J29)</f>
        <v>277381.25</v>
      </c>
      <c r="K30" s="19">
        <f>SUM(K18:K29)</f>
        <v>277381.25</v>
      </c>
      <c r="L30" s="19">
        <f>SUM(L18:L29)</f>
        <v>277381.25</v>
      </c>
      <c r="M30" s="19">
        <f>SUM(M18:M29)</f>
        <v>277381.25</v>
      </c>
      <c r="N30" s="19">
        <f>SUM(N18:N29)</f>
        <v>277381.25</v>
      </c>
      <c r="O30" s="19">
        <f>SUM(O18:O29)</f>
        <v>277381.25</v>
      </c>
      <c r="P30" s="19">
        <f>SUM(P18:P29)</f>
        <v>277381.25</v>
      </c>
      <c r="Q30" s="19">
        <f>SUM(Q18:Q29)</f>
        <v>277381.25</v>
      </c>
      <c r="R30" s="19">
        <f>SUM(R18:R29)</f>
        <v>277381.25</v>
      </c>
      <c r="S30" s="19">
        <f>SUM(S18:S29)</f>
        <v>277381.25</v>
      </c>
      <c r="T30" s="19">
        <f>SUM(T18:T29)</f>
        <v>277381.25</v>
      </c>
      <c r="U30" s="19">
        <f>SUM(U18:U29)</f>
        <v>277381.25</v>
      </c>
      <c r="V30" s="19">
        <f>SUM(V18:V29)</f>
        <v>277381.25</v>
      </c>
      <c r="W30" s="19">
        <f>SUM(W18:W29)</f>
        <v>277381.25</v>
      </c>
      <c r="X30" s="19">
        <f>SUM(X18:X29)</f>
        <v>277381.25</v>
      </c>
      <c r="Y30" s="19">
        <f>SUM(Y18:Y29)</f>
        <v>277381.25</v>
      </c>
      <c r="Z30" s="19">
        <f>SUMIF($B$13:$Y$13,"Yes",B30:Y30)</f>
        <v>5547625</v>
      </c>
      <c r="AA30" s="19">
        <f>SUM(B30:M30)</f>
        <v>3328575</v>
      </c>
      <c r="AB30" s="19">
        <f>SUM(B30:Y30)</f>
        <v>6657150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666.6666666666666</v>
      </c>
      <c r="C36" s="36">
        <f>O36</f>
        <v>666.6666666666666</v>
      </c>
      <c r="D36" s="36">
        <f>P36</f>
        <v>666.6666666666666</v>
      </c>
      <c r="E36" s="36">
        <f>Q36</f>
        <v>666.6666666666666</v>
      </c>
      <c r="F36" s="36">
        <f>R36</f>
        <v>666.6666666666666</v>
      </c>
      <c r="G36" s="36">
        <f>S36</f>
        <v>666.6666666666666</v>
      </c>
      <c r="H36" s="36">
        <f>T36</f>
        <v>666.6666666666666</v>
      </c>
      <c r="I36" s="36">
        <f>U36</f>
        <v>666.6666666666666</v>
      </c>
      <c r="J36" s="36">
        <f>V36</f>
        <v>666.6666666666666</v>
      </c>
      <c r="K36" s="36">
        <f>W36</f>
        <v>666.6666666666666</v>
      </c>
      <c r="L36" s="36">
        <f>X36</f>
        <v>666.6666666666666</v>
      </c>
      <c r="M36" s="36">
        <f>Y36</f>
        <v>666.6666666666666</v>
      </c>
      <c r="N36" s="36">
        <f>SUM(N37:N41)</f>
        <v>666.6666666666666</v>
      </c>
      <c r="O36" s="36">
        <f>SUM(O37:O41)</f>
        <v>666.6666666666666</v>
      </c>
      <c r="P36" s="36">
        <f>SUM(P37:P41)</f>
        <v>666.6666666666666</v>
      </c>
      <c r="Q36" s="36">
        <f>SUM(Q37:Q41)</f>
        <v>666.6666666666666</v>
      </c>
      <c r="R36" s="36">
        <f>SUM(R37:R41)</f>
        <v>666.6666666666666</v>
      </c>
      <c r="S36" s="36">
        <f>SUM(S37:S41)</f>
        <v>666.6666666666666</v>
      </c>
      <c r="T36" s="36">
        <f>SUM(T37:T41)</f>
        <v>666.6666666666666</v>
      </c>
      <c r="U36" s="36">
        <f>SUM(U37:U41)</f>
        <v>666.6666666666666</v>
      </c>
      <c r="V36" s="36">
        <f>SUM(V37:V41)</f>
        <v>666.6666666666666</v>
      </c>
      <c r="W36" s="36">
        <f>SUM(W37:W41)</f>
        <v>666.6666666666666</v>
      </c>
      <c r="X36" s="36">
        <f>SUM(X37:X41)</f>
        <v>666.6666666666666</v>
      </c>
      <c r="Y36" s="36">
        <f>SUM(Y37:Y41)</f>
        <v>666.6666666666666</v>
      </c>
      <c r="Z36" s="36">
        <f>SUMIF($B$13:$Y$13,"Yes",B36:Y36)</f>
        <v>13333.33333333333</v>
      </c>
      <c r="AA36" s="36">
        <f>SUM(B36:M36)</f>
        <v>8000.000000000001</v>
      </c>
      <c r="AB36" s="36">
        <f>SUM(B36:Y36)</f>
        <v>15999.99999999999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666.6666666666666</v>
      </c>
      <c r="C37" s="36">
        <f>O37</f>
        <v>666.6666666666666</v>
      </c>
      <c r="D37" s="36">
        <f>P37</f>
        <v>666.6666666666666</v>
      </c>
      <c r="E37" s="36">
        <f>Q37</f>
        <v>666.6666666666666</v>
      </c>
      <c r="F37" s="36">
        <f>R37</f>
        <v>666.6666666666666</v>
      </c>
      <c r="G37" s="36">
        <f>S37</f>
        <v>666.6666666666666</v>
      </c>
      <c r="H37" s="36">
        <f>T37</f>
        <v>666.6666666666666</v>
      </c>
      <c r="I37" s="36">
        <f>U37</f>
        <v>666.6666666666666</v>
      </c>
      <c r="J37" s="36">
        <f>V37</f>
        <v>666.6666666666666</v>
      </c>
      <c r="K37" s="36">
        <f>W37</f>
        <v>666.6666666666666</v>
      </c>
      <c r="L37" s="36">
        <f>X37</f>
        <v>666.6666666666666</v>
      </c>
      <c r="M37" s="36">
        <f>Y37</f>
        <v>666.6666666666666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666.6666666666666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666.6666666666666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666.6666666666666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666.6666666666666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666.6666666666666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666.6666666666666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666.6666666666666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666.6666666666666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666.6666666666666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666.6666666666666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666.6666666666666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666.6666666666666</v>
      </c>
      <c r="Z37" s="36">
        <f>SUMIF($B$13:$Y$13,"Yes",B37:Y37)</f>
        <v>13333.33333333333</v>
      </c>
      <c r="AA37" s="36">
        <f>SUM(B37:M37)</f>
        <v>8000.000000000001</v>
      </c>
      <c r="AB37" s="36">
        <f>SUM(B37:Y37)</f>
        <v>15999.99999999999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14166.66666666667</v>
      </c>
      <c r="C66" s="36">
        <f>O66</f>
        <v>14166.66666666667</v>
      </c>
      <c r="D66" s="36">
        <f>P66</f>
        <v>14166.66666666667</v>
      </c>
      <c r="E66" s="36">
        <f>Q66</f>
        <v>14166.66666666667</v>
      </c>
      <c r="F66" s="36">
        <f>R66</f>
        <v>14166.66666666667</v>
      </c>
      <c r="G66" s="36">
        <f>S66</f>
        <v>14166.66666666667</v>
      </c>
      <c r="H66" s="36">
        <f>T66</f>
        <v>14166.66666666667</v>
      </c>
      <c r="I66" s="36">
        <f>U66</f>
        <v>14166.66666666667</v>
      </c>
      <c r="J66" s="36">
        <f>V66</f>
        <v>14166.66666666667</v>
      </c>
      <c r="K66" s="36">
        <f>W66</f>
        <v>14166.66666666667</v>
      </c>
      <c r="L66" s="36">
        <f>X66</f>
        <v>14166.66666666667</v>
      </c>
      <c r="M66" s="36">
        <f>Y66</f>
        <v>14166.66666666667</v>
      </c>
      <c r="N66" s="46">
        <f>SUM(N67:N71)</f>
        <v>14166.66666666667</v>
      </c>
      <c r="O66" s="46">
        <f>SUM(O67:O71)</f>
        <v>14166.66666666667</v>
      </c>
      <c r="P66" s="46">
        <f>SUM(P67:P71)</f>
        <v>14166.66666666667</v>
      </c>
      <c r="Q66" s="46">
        <f>SUM(Q67:Q71)</f>
        <v>14166.66666666667</v>
      </c>
      <c r="R66" s="46">
        <f>SUM(R67:R71)</f>
        <v>14166.66666666667</v>
      </c>
      <c r="S66" s="46">
        <f>SUM(S67:S71)</f>
        <v>14166.66666666667</v>
      </c>
      <c r="T66" s="46">
        <f>SUM(T67:T71)</f>
        <v>14166.66666666667</v>
      </c>
      <c r="U66" s="46">
        <f>SUM(U67:U71)</f>
        <v>14166.66666666667</v>
      </c>
      <c r="V66" s="46">
        <f>SUM(V67:V71)</f>
        <v>14166.66666666667</v>
      </c>
      <c r="W66" s="46">
        <f>SUM(W67:W71)</f>
        <v>14166.66666666667</v>
      </c>
      <c r="X66" s="46">
        <f>SUM(X67:X71)</f>
        <v>14166.66666666667</v>
      </c>
      <c r="Y66" s="46">
        <f>SUM(Y67:Y71)</f>
        <v>14166.66666666667</v>
      </c>
      <c r="Z66" s="46">
        <f>SUMIF($B$13:$Y$13,"Yes",B66:Y66)</f>
        <v>283333.3333333333</v>
      </c>
      <c r="AA66" s="46">
        <f>SUM(B66:M66)</f>
        <v>170000</v>
      </c>
      <c r="AB66" s="46">
        <f>SUM(B66:Y66)</f>
        <v>340000.0000000001</v>
      </c>
    </row>
    <row r="67" spans="1:30" hidden="true" outlineLevel="1">
      <c r="A67" s="181" t="str">
        <f>Calculations!$A$4</f>
        <v>Bananas</v>
      </c>
      <c r="B67" s="36">
        <f>N67</f>
        <v>1041.666666666667</v>
      </c>
      <c r="C67" s="36">
        <f>O67</f>
        <v>1041.666666666667</v>
      </c>
      <c r="D67" s="36">
        <f>P67</f>
        <v>1041.666666666667</v>
      </c>
      <c r="E67" s="36">
        <f>Q67</f>
        <v>1041.666666666667</v>
      </c>
      <c r="F67" s="36">
        <f>R67</f>
        <v>1041.666666666667</v>
      </c>
      <c r="G67" s="36">
        <f>S67</f>
        <v>1041.666666666667</v>
      </c>
      <c r="H67" s="36">
        <f>T67</f>
        <v>1041.666666666667</v>
      </c>
      <c r="I67" s="36">
        <f>U67</f>
        <v>1041.666666666667</v>
      </c>
      <c r="J67" s="36">
        <f>V67</f>
        <v>1041.666666666667</v>
      </c>
      <c r="K67" s="36">
        <f>W67</f>
        <v>1041.666666666667</v>
      </c>
      <c r="L67" s="36">
        <f>X67</f>
        <v>1041.666666666667</v>
      </c>
      <c r="M67" s="36">
        <f>Y67</f>
        <v>1041.666666666667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1041.666666666667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1041.666666666667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1041.666666666667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1041.666666666667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1041.666666666667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1041.666666666667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1041.666666666667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1041.666666666667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1041.666666666667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1041.666666666667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1041.666666666667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1041.666666666667</v>
      </c>
      <c r="Z67" s="46">
        <f>SUMIF($B$13:$Y$13,"Yes",B67:Y67)</f>
        <v>20833.33333333334</v>
      </c>
      <c r="AA67" s="46">
        <f>SUM(B67:M67)</f>
        <v>12500</v>
      </c>
      <c r="AB67" s="46">
        <f>SUM(B67:Y67)</f>
        <v>25000.00000000001</v>
      </c>
    </row>
    <row r="68" spans="1:30" hidden="true" outlineLevel="1">
      <c r="A68" s="181" t="str">
        <f>Calculations!$A$5</f>
        <v>Tomatoes</v>
      </c>
      <c r="B68" s="36">
        <f>N68</f>
        <v>13125</v>
      </c>
      <c r="C68" s="36">
        <f>O68</f>
        <v>13125</v>
      </c>
      <c r="D68" s="36">
        <f>P68</f>
        <v>13125</v>
      </c>
      <c r="E68" s="36">
        <f>Q68</f>
        <v>13125</v>
      </c>
      <c r="F68" s="36">
        <f>R68</f>
        <v>13125</v>
      </c>
      <c r="G68" s="36">
        <f>S68</f>
        <v>13125</v>
      </c>
      <c r="H68" s="36">
        <f>T68</f>
        <v>13125</v>
      </c>
      <c r="I68" s="36">
        <f>U68</f>
        <v>13125</v>
      </c>
      <c r="J68" s="36">
        <f>V68</f>
        <v>13125</v>
      </c>
      <c r="K68" s="36">
        <f>W68</f>
        <v>13125</v>
      </c>
      <c r="L68" s="36">
        <f>X68</f>
        <v>13125</v>
      </c>
      <c r="M68" s="36">
        <f>Y68</f>
        <v>13125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13125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13125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13125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13125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13125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13125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13125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13125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13125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13125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13125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13125</v>
      </c>
      <c r="Z68" s="46">
        <f>SUMIF($B$13:$Y$13,"Yes",B68:Y68)</f>
        <v>262500</v>
      </c>
      <c r="AA68" s="46">
        <f>SUM(B68:M68)</f>
        <v>157500</v>
      </c>
      <c r="AB68" s="46">
        <f>SUM(B68:Y68)</f>
        <v>315000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136875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8333.333333333336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3166.666666666667</v>
      </c>
      <c r="C76" s="46">
        <f>SUM(Calculations!$S$14:$S$16)/12</f>
        <v>3166.666666666667</v>
      </c>
      <c r="D76" s="46">
        <f>SUM(Calculations!$S$14:$S$16)/12</f>
        <v>3166.666666666667</v>
      </c>
      <c r="E76" s="46">
        <f>SUM(Calculations!$S$14:$S$16)/12</f>
        <v>3166.666666666667</v>
      </c>
      <c r="F76" s="46">
        <f>SUM(Calculations!$S$14:$S$16)/12</f>
        <v>3166.666666666667</v>
      </c>
      <c r="G76" s="46">
        <f>SUM(Calculations!$S$14:$S$16)/12</f>
        <v>3166.666666666667</v>
      </c>
      <c r="H76" s="46">
        <f>SUM(Calculations!$S$14:$S$16)/12</f>
        <v>3166.666666666667</v>
      </c>
      <c r="I76" s="46">
        <f>SUM(Calculations!$S$14:$S$16)/12</f>
        <v>3166.666666666667</v>
      </c>
      <c r="J76" s="46">
        <f>SUM(Calculations!$S$14:$S$16)/12</f>
        <v>3166.666666666667</v>
      </c>
      <c r="K76" s="46">
        <f>SUM(Calculations!$S$14:$S$16)/12</f>
        <v>3166.666666666667</v>
      </c>
      <c r="L76" s="46">
        <f>SUM(Calculations!$S$14:$S$16)/12</f>
        <v>3166.666666666667</v>
      </c>
      <c r="M76" s="46">
        <f>SUM(Calculations!$S$14:$S$16)/12</f>
        <v>3166.666666666667</v>
      </c>
      <c r="N76" s="46">
        <f>SUM(Calculations!$S$14:$S$16)/12</f>
        <v>3166.666666666667</v>
      </c>
      <c r="O76" s="46">
        <f>SUM(Calculations!$S$14:$S$16)/12</f>
        <v>3166.666666666667</v>
      </c>
      <c r="P76" s="46">
        <f>SUM(Calculations!$S$14:$S$16)/12</f>
        <v>3166.666666666667</v>
      </c>
      <c r="Q76" s="46">
        <f>SUM(Calculations!$S$14:$S$16)/12</f>
        <v>3166.666666666667</v>
      </c>
      <c r="R76" s="46">
        <f>SUM(Calculations!$S$14:$S$16)/12</f>
        <v>3166.666666666667</v>
      </c>
      <c r="S76" s="46">
        <f>SUM(Calculations!$S$14:$S$16)/12</f>
        <v>3166.666666666667</v>
      </c>
      <c r="T76" s="46">
        <f>SUM(Calculations!$S$14:$S$16)/12</f>
        <v>3166.666666666667</v>
      </c>
      <c r="U76" s="46">
        <f>SUM(Calculations!$S$14:$S$16)/12</f>
        <v>3166.666666666667</v>
      </c>
      <c r="V76" s="46">
        <f>SUM(Calculations!$S$14:$S$16)/12</f>
        <v>3166.666666666667</v>
      </c>
      <c r="W76" s="46">
        <f>SUM(Calculations!$S$14:$S$16)/12</f>
        <v>3166.666666666667</v>
      </c>
      <c r="X76" s="46">
        <f>SUM(Calculations!$S$14:$S$16)/12</f>
        <v>3166.666666666667</v>
      </c>
      <c r="Y76" s="46">
        <f>SUM(Calculations!$S$14:$S$16)/12</f>
        <v>3166.666666666667</v>
      </c>
      <c r="Z76" s="46">
        <f>SUMIF($B$13:$Y$13,"Yes",B76:Y76)</f>
        <v>63333.33333333331</v>
      </c>
      <c r="AA76" s="46">
        <f>SUM(B76:M76)</f>
        <v>38000</v>
      </c>
      <c r="AB76" s="46">
        <f>SUM(B76:Y76)</f>
        <v>76000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200000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96848.33333333333</v>
      </c>
      <c r="C81" s="46">
        <f>(SUM($AA$18:$AA$29)-SUM($AA$36,$AA$42,$AA$48,$AA$54,$AA$60,$AA$66,$AA$72:$AA$79))*Parameters!$B$37/12</f>
        <v>96848.33333333333</v>
      </c>
      <c r="D81" s="46">
        <f>(SUM($AA$18:$AA$29)-SUM($AA$36,$AA$42,$AA$48,$AA$54,$AA$60,$AA$66,$AA$72:$AA$79))*Parameters!$B$37/12</f>
        <v>96848.33333333333</v>
      </c>
      <c r="E81" s="46">
        <f>(SUM($AA$18:$AA$29)-SUM($AA$36,$AA$42,$AA$48,$AA$54,$AA$60,$AA$66,$AA$72:$AA$79))*Parameters!$B$37/12</f>
        <v>96848.33333333333</v>
      </c>
      <c r="F81" s="46">
        <f>(SUM($AA$18:$AA$29)-SUM($AA$36,$AA$42,$AA$48,$AA$54,$AA$60,$AA$66,$AA$72:$AA$79))*Parameters!$B$37/12</f>
        <v>96848.33333333333</v>
      </c>
      <c r="G81" s="46">
        <f>(SUM($AA$18:$AA$29)-SUM($AA$36,$AA$42,$AA$48,$AA$54,$AA$60,$AA$66,$AA$72:$AA$79))*Parameters!$B$37/12</f>
        <v>96848.33333333333</v>
      </c>
      <c r="H81" s="46">
        <f>(SUM($AA$18:$AA$29)-SUM($AA$36,$AA$42,$AA$48,$AA$54,$AA$60,$AA$66,$AA$72:$AA$79))*Parameters!$B$37/12</f>
        <v>96848.33333333333</v>
      </c>
      <c r="I81" s="46">
        <f>(SUM($AA$18:$AA$29)-SUM($AA$36,$AA$42,$AA$48,$AA$54,$AA$60,$AA$66,$AA$72:$AA$79))*Parameters!$B$37/12</f>
        <v>96848.33333333333</v>
      </c>
      <c r="J81" s="46">
        <f>(SUM($AA$18:$AA$29)-SUM($AA$36,$AA$42,$AA$48,$AA$54,$AA$60,$AA$66,$AA$72:$AA$79))*Parameters!$B$37/12</f>
        <v>96848.33333333333</v>
      </c>
      <c r="K81" s="46">
        <f>(SUM($AA$18:$AA$29)-SUM($AA$36,$AA$42,$AA$48,$AA$54,$AA$60,$AA$66,$AA$72:$AA$79))*Parameters!$B$37/12</f>
        <v>96848.33333333333</v>
      </c>
      <c r="L81" s="46">
        <f>(SUM($AA$18:$AA$29)-SUM($AA$36,$AA$42,$AA$48,$AA$54,$AA$60,$AA$66,$AA$72:$AA$79))*Parameters!$B$37/12</f>
        <v>96848.33333333333</v>
      </c>
      <c r="M81" s="46">
        <f>(SUM($AA$18:$AA$29)-SUM($AA$36,$AA$42,$AA$48,$AA$54,$AA$60,$AA$66,$AA$72:$AA$79))*Parameters!$B$37/12</f>
        <v>96848.33333333333</v>
      </c>
      <c r="N81" s="46">
        <f>(SUM($AA$18:$AA$29)-SUM($AA$36,$AA$42,$AA$48,$AA$54,$AA$60,$AA$66,$AA$72:$AA$79))*Parameters!$B$37/12</f>
        <v>96848.33333333333</v>
      </c>
      <c r="O81" s="46">
        <f>(SUM($AA$18:$AA$29)-SUM($AA$36,$AA$42,$AA$48,$AA$54,$AA$60,$AA$66,$AA$72:$AA$79))*Parameters!$B$37/12</f>
        <v>96848.33333333333</v>
      </c>
      <c r="P81" s="46">
        <f>(SUM($AA$18:$AA$29)-SUM($AA$36,$AA$42,$AA$48,$AA$54,$AA$60,$AA$66,$AA$72:$AA$79))*Parameters!$B$37/12</f>
        <v>96848.33333333333</v>
      </c>
      <c r="Q81" s="46">
        <f>(SUM($AA$18:$AA$29)-SUM($AA$36,$AA$42,$AA$48,$AA$54,$AA$60,$AA$66,$AA$72:$AA$79))*Parameters!$B$37/12</f>
        <v>96848.33333333333</v>
      </c>
      <c r="R81" s="46">
        <f>(SUM($AA$18:$AA$29)-SUM($AA$36,$AA$42,$AA$48,$AA$54,$AA$60,$AA$66,$AA$72:$AA$79))*Parameters!$B$37/12</f>
        <v>96848.33333333333</v>
      </c>
      <c r="S81" s="46">
        <f>(SUM($AA$18:$AA$29)-SUM($AA$36,$AA$42,$AA$48,$AA$54,$AA$60,$AA$66,$AA$72:$AA$79))*Parameters!$B$37/12</f>
        <v>96848.33333333333</v>
      </c>
      <c r="T81" s="46">
        <f>(SUM($AA$18:$AA$29)-SUM($AA$36,$AA$42,$AA$48,$AA$54,$AA$60,$AA$66,$AA$72:$AA$79))*Parameters!$B$37/12</f>
        <v>96848.33333333333</v>
      </c>
      <c r="U81" s="46">
        <f>(SUM($AA$18:$AA$29)-SUM($AA$36,$AA$42,$AA$48,$AA$54,$AA$60,$AA$66,$AA$72:$AA$79))*Parameters!$B$37/12</f>
        <v>96848.33333333333</v>
      </c>
      <c r="V81" s="46">
        <f>(SUM($AA$18:$AA$29)-SUM($AA$36,$AA$42,$AA$48,$AA$54,$AA$60,$AA$66,$AA$72:$AA$79))*Parameters!$B$37/12</f>
        <v>96848.33333333333</v>
      </c>
      <c r="W81" s="46">
        <f>(SUM($AA$18:$AA$29)-SUM($AA$36,$AA$42,$AA$48,$AA$54,$AA$60,$AA$66,$AA$72:$AA$79))*Parameters!$B$37/12</f>
        <v>96848.33333333333</v>
      </c>
      <c r="X81" s="46">
        <f>(SUM($AA$18:$AA$29)-SUM($AA$36,$AA$42,$AA$48,$AA$54,$AA$60,$AA$66,$AA$72:$AA$79))*Parameters!$B$37/12</f>
        <v>96848.33333333333</v>
      </c>
      <c r="Y81" s="46">
        <f>(SUM($AA$18:$AA$29)-SUM($AA$36,$AA$42,$AA$48,$AA$54,$AA$60,$AA$66,$AA$72:$AA$79))*Parameters!$B$37/12</f>
        <v>96848.33333333333</v>
      </c>
      <c r="Z81" s="46">
        <f>SUMIF($B$13:$Y$13,"Yes",B81:Y81)</f>
        <v>1936966.666666666</v>
      </c>
      <c r="AA81" s="46">
        <f>SUM(B81:M81)</f>
        <v>1162180</v>
      </c>
      <c r="AB81" s="46">
        <f>SUM(B81:Y81)</f>
        <v>2324360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132108.75</v>
      </c>
      <c r="C88" s="19">
        <f>SUM(C72:C82,C66,C60,C54,C48,C42,C36)</f>
        <v>132108.75</v>
      </c>
      <c r="D88" s="19">
        <f>SUM(D72:D82,D66,D60,D54,D48,D42,D36)</f>
        <v>132108.75</v>
      </c>
      <c r="E88" s="19">
        <f>SUM(E72:E82,E66,E60,E54,E48,E42,E36)</f>
        <v>132108.75</v>
      </c>
      <c r="F88" s="19">
        <f>SUM(F72:F82,F66,F60,F54,F48,F42,F36)</f>
        <v>132108.75</v>
      </c>
      <c r="G88" s="19">
        <f>SUM(G72:G82,G66,G60,G54,G48,G42,G36)</f>
        <v>132108.75</v>
      </c>
      <c r="H88" s="19">
        <f>SUM(H72:H82,H66,H60,H54,H48,H42,H36)</f>
        <v>132108.75</v>
      </c>
      <c r="I88" s="19">
        <f>SUM(I72:I82,I66,I60,I54,I48,I42,I36)</f>
        <v>132108.75</v>
      </c>
      <c r="J88" s="19">
        <f>SUM(J72:J82,J66,J60,J54,J48,J42,J36)</f>
        <v>132108.75</v>
      </c>
      <c r="K88" s="19">
        <f>SUM(K72:K82,K66,K60,K54,K48,K42,K36)</f>
        <v>132108.75</v>
      </c>
      <c r="L88" s="19">
        <f>SUM(L72:L82,L66,L60,L54,L48,L42,L36)</f>
        <v>132108.75</v>
      </c>
      <c r="M88" s="19">
        <f>SUM(M72:M82,M66,M60,M54,M48,M42,M36)</f>
        <v>132108.75</v>
      </c>
      <c r="N88" s="19">
        <f>SUM(N72:N82,N66,N60,N54,N48,N42,N36)</f>
        <v>132108.75</v>
      </c>
      <c r="O88" s="19">
        <f>SUM(O72:O82,O66,O60,O54,O48,O42,O36)</f>
        <v>132108.75</v>
      </c>
      <c r="P88" s="19">
        <f>SUM(P72:P82,P66,P60,P54,P48,P42,P36)</f>
        <v>132108.75</v>
      </c>
      <c r="Q88" s="19">
        <f>SUM(Q72:Q82,Q66,Q60,Q54,Q48,Q42,Q36)</f>
        <v>132108.75</v>
      </c>
      <c r="R88" s="19">
        <f>SUM(R72:R82,R66,R60,R54,R48,R42,R36)</f>
        <v>132108.75</v>
      </c>
      <c r="S88" s="19">
        <f>SUM(S72:S82,S66,S60,S54,S48,S42,S36)</f>
        <v>132108.75</v>
      </c>
      <c r="T88" s="19">
        <f>SUM(T72:T82,T66,T60,T54,T48,T42,T36)</f>
        <v>132108.75</v>
      </c>
      <c r="U88" s="19">
        <f>SUM(U72:U82,U66,U60,U54,U48,U42,U36)</f>
        <v>132108.75</v>
      </c>
      <c r="V88" s="19">
        <f>SUM(V72:V82,V66,V60,V54,V48,V42,V36)</f>
        <v>132108.75</v>
      </c>
      <c r="W88" s="19">
        <f>SUM(W72:W82,W66,W60,W54,W48,W42,W36)</f>
        <v>132108.75</v>
      </c>
      <c r="X88" s="19">
        <f>SUM(X72:X82,X66,X60,X54,X48,X42,X36)</f>
        <v>132108.75</v>
      </c>
      <c r="Y88" s="19">
        <f>SUM(Y72:Y82,Y66,Y60,Y54,Y48,Y42,Y36)</f>
        <v>132108.75</v>
      </c>
      <c r="Z88" s="19">
        <f>SUMIF($B$13:$Y$13,"Yes",B88:Y88)</f>
        <v>2642175</v>
      </c>
      <c r="AA88" s="19">
        <f>SUM(B88:M88)</f>
        <v>1585305</v>
      </c>
      <c r="AB88" s="19">
        <f>SUM(B88:Y88)</f>
        <v>3170610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37625000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41505000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97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98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97</v>
      </c>
      <c r="J10" s="148" t="s">
        <v>99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98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97</v>
      </c>
      <c r="J11" s="152" t="s">
        <v>99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10</v>
      </c>
      <c r="D19" s="145"/>
      <c r="E19" s="20"/>
      <c r="F19" s="145" t="s">
        <v>92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3</v>
      </c>
      <c r="D20" s="147">
        <v>3</v>
      </c>
      <c r="E20" s="16"/>
      <c r="F20" s="147" t="s">
        <v>92</v>
      </c>
      <c r="G20" s="16"/>
      <c r="H20" s="16"/>
      <c r="I20" s="147" t="s">
        <v>115</v>
      </c>
      <c r="J20" s="147">
        <v>5</v>
      </c>
      <c r="K20" s="147"/>
      <c r="L20" s="30"/>
    </row>
    <row r="21" spans="1:48">
      <c r="A21" s="144" t="s">
        <v>117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50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120000</v>
      </c>
    </row>
    <row r="31" spans="1:48">
      <c r="A31" s="5" t="s">
        <v>124</v>
      </c>
      <c r="B31" s="158">
        <v>10000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2000000</v>
      </c>
    </row>
    <row r="46" spans="1:48" customHeight="1" ht="30">
      <c r="A46" s="57" t="s">
        <v>138</v>
      </c>
      <c r="B46" s="161">
        <v>500000</v>
      </c>
    </row>
    <row r="47" spans="1:48" customHeight="1" ht="30">
      <c r="A47" s="57" t="s">
        <v>139</v>
      </c>
      <c r="B47" s="161">
        <v>500000</v>
      </c>
    </row>
    <row r="48" spans="1:48" customHeight="1" ht="30">
      <c r="A48" s="57" t="s">
        <v>140</v>
      </c>
      <c r="B48" s="161">
        <v>0</v>
      </c>
    </row>
    <row r="49" spans="1:48" customHeight="1" ht="30">
      <c r="A49" s="57" t="s">
        <v>141</v>
      </c>
      <c r="B49" s="161">
        <v>80000</v>
      </c>
    </row>
    <row r="50" spans="1:48">
      <c r="A50" s="43"/>
      <c r="B50" s="36"/>
    </row>
    <row r="51" spans="1:48">
      <c r="A51" s="58" t="s">
        <v>142</v>
      </c>
      <c r="B51" s="161">
        <v>5000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100000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7500</v>
      </c>
      <c r="B57" s="157">
        <v>0</v>
      </c>
      <c r="C57" s="164" t="s">
        <v>153</v>
      </c>
      <c r="D57" s="165" t="s">
        <v>154</v>
      </c>
      <c r="E57" s="165" t="s">
        <v>92</v>
      </c>
      <c r="F57" s="165" t="s">
        <v>152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156</v>
      </c>
      <c r="C65" s="10" t="s">
        <v>157</v>
      </c>
    </row>
    <row r="66" spans="1:48">
      <c r="A66" s="142" t="s">
        <v>158</v>
      </c>
      <c r="B66" s="159">
        <v>213451</v>
      </c>
      <c r="C66" s="163">
        <v>184784</v>
      </c>
      <c r="D66" s="49">
        <f>INDEX(Parameters!$D$79:$D$90,MATCH(Inputs!A66,Parameters!$C$79:$C$90,0))</f>
        <v>1</v>
      </c>
    </row>
    <row r="67" spans="1:48">
      <c r="A67" s="143" t="s">
        <v>159</v>
      </c>
      <c r="B67" s="157">
        <v>328451</v>
      </c>
      <c r="C67" s="165">
        <v>301241</v>
      </c>
      <c r="D67" s="49">
        <f>INDEX(Parameters!$D$79:$D$90,MATCH(Inputs!A67,Parameters!$C$79:$C$90,0))</f>
        <v>12</v>
      </c>
    </row>
    <row r="68" spans="1:48">
      <c r="A68" s="143" t="s">
        <v>160</v>
      </c>
      <c r="B68" s="157">
        <v>313214</v>
      </c>
      <c r="C68" s="165">
        <v>280478</v>
      </c>
      <c r="D68" s="49">
        <f>INDEX(Parameters!$D$79:$D$90,MATCH(Inputs!A68,Parameters!$C$79:$C$90,0))</f>
        <v>11</v>
      </c>
    </row>
    <row r="69" spans="1:48">
      <c r="A69" s="143" t="s">
        <v>161</v>
      </c>
      <c r="B69" s="157">
        <v>302012</v>
      </c>
      <c r="C69" s="165">
        <v>261547</v>
      </c>
      <c r="D69" s="49">
        <f>INDEX(Parameters!$D$79:$D$90,MATCH(Inputs!A69,Parameters!$C$79:$C$90,0))</f>
        <v>10</v>
      </c>
    </row>
    <row r="70" spans="1:48">
      <c r="A70" s="143" t="s">
        <v>162</v>
      </c>
      <c r="B70" s="157">
        <v>214541</v>
      </c>
      <c r="C70" s="165">
        <v>182474</v>
      </c>
      <c r="D70" s="49">
        <f>INDEX(Parameters!$D$79:$D$90,MATCH(Inputs!A70,Parameters!$C$79:$C$90,0))</f>
        <v>9</v>
      </c>
    </row>
    <row r="71" spans="1:48">
      <c r="A71" s="144" t="s">
        <v>163</v>
      </c>
      <c r="B71" s="158">
        <v>182457</v>
      </c>
      <c r="C71" s="167">
        <v>152451</v>
      </c>
      <c r="D71" s="49">
        <f>INDEX(Parameters!$D$79:$D$90,MATCH(Inputs!A71,Parameters!$C$79:$C$90,0))</f>
        <v>8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13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140000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18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46000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917700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Tomatoes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3933.029533398966</v>
      </c>
      <c r="M5" s="30">
        <f>L5*H5</f>
        <v>11799.0886001969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784639.3919130936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2250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13500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52500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396000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574875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43194</v>
      </c>
      <c r="C33" s="27">
        <f>IF(B33&lt;&gt;"",IF(COUNT($A$33:A33)&lt;=$G$39,0,$G$41)+IF(COUNT($A$33:A33)&lt;=$G$40,0,$G$42),0)</f>
        <v>10111.11111111111</v>
      </c>
      <c r="D33" s="170">
        <f>IFERROR(DATE(YEAR(B33),MONTH(B33),1)," ")</f>
        <v>43191</v>
      </c>
      <c r="F33" t="s">
        <v>169</v>
      </c>
      <c r="G33" s="128">
        <f>IF(Inputs!B79="","",DATE(YEAR(Inputs!B79),MONTH(Inputs!B79),DAY(Inputs!B79)))</f>
        <v>43158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43224</v>
      </c>
      <c r="C34" s="27">
        <f>IF(B34&lt;&gt;"",IF(COUNT($A$33:A34)&lt;=$G$39,0,$G$41)+IF(COUNT($A$33:A34)&lt;=$G$40,0,$G$42),0)</f>
        <v>10111.11111111111</v>
      </c>
      <c r="D34" s="170">
        <f>IFERROR(DATE(YEAR(B34),MONTH(B34),1)," ")</f>
        <v>43221</v>
      </c>
      <c r="F34" t="s">
        <v>170</v>
      </c>
      <c r="G34" s="128">
        <f>IF(Inputs!B80="","",DATE(YEAR(Inputs!B80),MONTH(Inputs!B80),DAY(Inputs!B80)))</f>
        <v>43194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43255</v>
      </c>
      <c r="C35" s="27">
        <f>IF(B35&lt;&gt;"",IF(COUNT($A$33:A35)&lt;=$G$39,0,$G$41)+IF(COUNT($A$33:A35)&lt;=$G$40,0,$G$42),0)</f>
        <v>10111.11111111111</v>
      </c>
      <c r="D35" s="170">
        <f>IFERROR(DATE(YEAR(B35),MONTH(B35),1)," ")</f>
        <v>43252</v>
      </c>
      <c r="F35" t="s">
        <v>172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43285</v>
      </c>
      <c r="C36" s="27">
        <f>IF(B36&lt;&gt;"",IF(COUNT($A$33:A36)&lt;=$G$39,0,$G$41)+IF(COUNT($A$33:A36)&lt;=$G$40,0,$G$42),0)</f>
        <v>10111.11111111111</v>
      </c>
      <c r="D36" s="170">
        <f>IFERROR(DATE(YEAR(B36),MONTH(B36),1)," ")</f>
        <v>43282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43316</v>
      </c>
      <c r="C37" s="27">
        <f>IF(B37&lt;&gt;"",IF(COUNT($A$33:A37)&lt;=$G$39,0,$G$41)+IF(COUNT($A$33:A37)&lt;=$G$40,0,$G$42),0)</f>
        <v>10111.11111111111</v>
      </c>
      <c r="D37" s="170">
        <f>IFERROR(DATE(YEAR(B37),MONTH(B37),1)," ")</f>
        <v>43313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43347</v>
      </c>
      <c r="C38" s="27">
        <f>IF(B38&lt;&gt;"",IF(COUNT($A$33:A38)&lt;=$G$39,0,$G$41)+IF(COUNT($A$33:A38)&lt;=$G$40,0,$G$42),0)</f>
        <v>10111.11111111111</v>
      </c>
      <c r="D38" s="170">
        <f>IFERROR(DATE(YEAR(B38),MONTH(B38),1)," ")</f>
        <v>43344</v>
      </c>
      <c r="F38" t="s">
        <v>235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43377</v>
      </c>
      <c r="C39" s="27">
        <f>IF(B39&lt;&gt;"",IF(COUNT($A$33:A39)&lt;=$G$39,0,$G$41)+IF(COUNT($A$33:A39)&lt;=$G$40,0,$G$42),0)</f>
        <v>10111.11111111111</v>
      </c>
      <c r="D39" s="170">
        <f>IFERROR(DATE(YEAR(B39),MONTH(B39),1)," ")</f>
        <v>43374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43408</v>
      </c>
      <c r="C40" s="27">
        <f>IF(B40&lt;&gt;"",IF(COUNT($A$33:A40)&lt;=$G$39,0,$G$41)+IF(COUNT($A$33:A40)&lt;=$G$40,0,$G$42),0)</f>
        <v>10111.11111111111</v>
      </c>
      <c r="D40" s="170">
        <f>IFERROR(DATE(YEAR(B40),MONTH(B40),1)," ")</f>
        <v>43405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43438</v>
      </c>
      <c r="C41" s="27">
        <f>IF(B41&lt;&gt;"",IF(COUNT($A$33:A41)&lt;=$G$39,0,$G$41)+IF(COUNT($A$33:A41)&lt;=$G$40,0,$G$42),0)</f>
        <v>10111.11111111111</v>
      </c>
      <c r="D41" s="170">
        <f>IFERROR(DATE(YEAR(B41),MONTH(B41),1)," ")</f>
        <v>43435</v>
      </c>
      <c r="F41" t="s">
        <v>236</v>
      </c>
      <c r="G41" s="73">
        <f>IFERROR(G35/(G38-G39),"")</f>
        <v>7777.777777777777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43469</v>
      </c>
      <c r="C42" s="27">
        <f>IF(B42&lt;&gt;"",IF(COUNT($A$33:A42)&lt;=$G$39,0,$G$41)+IF(COUNT($A$33:A42)&lt;=$G$40,0,$G$42),0)</f>
        <v>10111.11111111111</v>
      </c>
      <c r="D42" s="170">
        <f>IFERROR(DATE(YEAR(B42),MONTH(B42),1)," ")</f>
        <v>43466</v>
      </c>
      <c r="F42" t="s">
        <v>237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43500</v>
      </c>
      <c r="C43" s="27">
        <f>IF(B43&lt;&gt;"",IF(COUNT($A$33:A43)&lt;=$G$39,0,$G$41)+IF(COUNT($A$33:A43)&lt;=$G$40,0,$G$42),0)</f>
        <v>10111.11111111111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43528</v>
      </c>
      <c r="C44" s="27">
        <f>IF(B44&lt;&gt;"",IF(COUNT($A$33:A44)&lt;=$G$39,0,$G$41)+IF(COUNT($A$33:A44)&lt;=$G$40,0,$G$42),0)</f>
        <v>10111.11111111111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43559</v>
      </c>
      <c r="C45" s="27">
        <f>IF(B45&lt;&gt;"",IF(COUNT($A$33:A45)&lt;=$G$39,0,$G$41)+IF(COUNT($A$33:A45)&lt;=$G$40,0,$G$42),0)</f>
        <v>10111.11111111111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43589</v>
      </c>
      <c r="C46" s="27">
        <f>IF(B46&lt;&gt;"",IF(COUNT($A$33:A46)&lt;=$G$39,0,$G$41)+IF(COUNT($A$33:A46)&lt;=$G$40,0,$G$42),0)</f>
        <v>10111.11111111111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43620</v>
      </c>
      <c r="C47" s="27">
        <f>IF(B47&lt;&gt;"",IF(COUNT($A$33:A47)&lt;=$G$39,0,$G$41)+IF(COUNT($A$33:A47)&lt;=$G$40,0,$G$42),0)</f>
        <v>10111.11111111111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43650</v>
      </c>
      <c r="C48" s="27">
        <f>IF(B48&lt;&gt;"",IF(COUNT($A$33:A48)&lt;=$G$39,0,$G$41)+IF(COUNT($A$33:A48)&lt;=$G$40,0,$G$42),0)</f>
        <v>10111.11111111111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43681</v>
      </c>
      <c r="C49" s="27">
        <f>IF(B49&lt;&gt;"",IF(COUNT($A$33:A49)&lt;=$G$39,0,$G$41)+IF(COUNT($A$33:A49)&lt;=$G$40,0,$G$42),0)</f>
        <v>10111.11111111111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43712</v>
      </c>
      <c r="C50" s="27">
        <f>IF(B50&lt;&gt;"",IF(COUNT($A$33:A50)&lt;=$G$39,0,$G$41)+IF(COUNT($A$33:A50)&lt;=$G$40,0,$G$42),0)</f>
        <v>10111.11111111111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114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114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319</v>
      </c>
      <c r="H52" s="12" t="s">
        <v>320</v>
      </c>
      <c r="I52" s="12" t="s">
        <v>135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238</v>
      </c>
      <c r="E53" s="10" t="s">
        <v>197</v>
      </c>
      <c r="F53" s="10" t="s">
        <v>257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175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234</v>
      </c>
      <c r="J76" s="11" t="s">
        <v>353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320</v>
      </c>
      <c r="I77" s="12" t="s">
        <v>356</v>
      </c>
      <c r="J77" s="136" t="s">
        <v>357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358</v>
      </c>
      <c r="F78" s="12" t="s">
        <v>359</v>
      </c>
      <c r="G78" s="12" t="s">
        <v>115</v>
      </c>
      <c r="H78" s="12" t="s">
        <v>135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175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97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163</v>
      </c>
      <c r="D86" s="12">
        <f>D85+1</f>
        <v>8</v>
      </c>
    </row>
    <row r="87" spans="1:36">
      <c r="B87" s="176">
        <v>89.99999999999999</v>
      </c>
      <c r="C87" s="12" t="s">
        <v>162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