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<sst xmlns="http://schemas.openxmlformats.org/spreadsheetml/2006/main" uniqueCount="368">
  <si>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</si>
  <si>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</si>
  <si>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</si>
  <si>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</si>
  <si>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</si>
  <si>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</si>
  <si>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</si>
  <si>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</si>
  <si>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</si>
  <si>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</si>
  <si>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</si>
  <si>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</si>
  <si>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</si>
  <si>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</si>
  <si>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</si>
  <si>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</si>
  <si>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</si>
  <si>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</si>
  <si>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</si>
  <si>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</si>
  <si>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</si>
  <si>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</si>
  <si>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</si>
  <si>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</si>
  <si>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</si>
  <si>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</si>
  <si>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</si>
  <si>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</si>
  <si>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</si>
  <si>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</si>
  <si>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</si>
  <si>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</si>
  <si>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</si>
  <si>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</si>
  <si>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</si>
  <si>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</si>
  <si>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</si>
  <si>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</si>
  <si>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</si>
  <si>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</si>
  <si>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</si>
  <si>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</si>
  <si>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</si>
  <si>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</si>
  <si>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</si>
  <si>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</si>
  <si>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</si>
  <si>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</si>
  <si>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</si>
  <si>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</si>
  <si>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</si>
  <si>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</si>
  <si>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</si>
  <si>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</si>
  <si>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</si>
  <si>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</si>
  <si>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</si>
  <si>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</si>
  <si>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</si>
  <si>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</si>
  <si>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</si>
  <si>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</si>
  <si>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</si>
  <si>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</si>
  <si>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</si>
  <si>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</si>
  <si>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</si>
  <si>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</si>
  <si>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</si>
  <si>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</si>
  <si>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</si>
  <si>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</si>
  <si>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</si>
  <si>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</si>
  <si>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</si>
  <si>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</si>
  <si>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</si>
  <si>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</si>
  <si>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</si>
  <si>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</si>
  <si>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</si>
  <si>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</si>
  <si>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</si>
  <si>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</si>
  <si>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</si>
  <si>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</si>
  <si>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</si>
  <si>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</si>
  <si>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</si>
  <si>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</si>
  <si>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</si>
  <si>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</si>
  <si>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</si>
  <si>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using a diesel pump</t>
  </si>
  <si>
    <t>August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</si>
  <si>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</si>
  <si>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</si>
  <si>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</si>
  <si>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</si>
  <si>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</si>
  <si>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</si>
  <si>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</si>
  <si>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</si>
  <si>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</si>
  <si>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</si>
  <si>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</si>
  <si>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</si>
  <si>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</si>
  <si>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</si>
  <si>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</si>
  <si>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</si>
  <si>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</si>
  <si>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</si>
  <si>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</si>
  <si>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</si>
  <si>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</si>
  <si>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</si>
  <si>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</si>
  <si>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</si>
  <si>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</si>
  <si>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</si>
  <si>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</si>
  <si>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</si>
  <si>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</si>
  <si>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</si>
  <si>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</si>
  <si>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</si>
  <si>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</si>
  <si>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</si>
  <si>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</si>
  <si>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</si>
  <si>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</si>
  <si>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</si>
  <si>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</si>
  <si>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</si>
  <si>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</si>
  <si>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</si>
  <si>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</si>
  <si>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</si>
  <si>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</si>
  <si>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</si>
  <si>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</si>
  <si>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2/12/2017</t>
  </si>
  <si>
    <t>Mshwari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</si>
  <si>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</si>
  <si>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</si>
  <si>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</si>
  <si>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</si>
  <si>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</si>
  <si>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</si>
  <si>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</si>
  <si>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</si>
  <si>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</si>
  <si>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</si>
  <si>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</si>
  <si>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2018/2/27</t>
  </si>
  <si>
    <t>Loan terms</t>
  </si>
  <si>
    <t>Expected disbursement date</t>
  </si>
  <si>
    <t>2018/2/28</t>
  </si>
  <si>
    <t>Expected first repayment date</t>
  </si>
  <si>
    <t>2018/4/9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</si>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</sst>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0.4129663570995054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0.06976744186046512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25000</v>
      </c>
    </row>
    <row r="17" spans="1:7">
      <c r="B17" s="1" t="s">
        <v>11</v>
      </c>
      <c r="C17" s="36">
        <f>SUM(Output!B6:M6)</f>
        <v>359935.3844350726</v>
      </c>
    </row>
    <row r="18" spans="1:7">
      <c r="B18" s="1" t="s">
        <v>12</v>
      </c>
      <c r="C18" s="36">
        <f>MIN(Output!B6:M6)</f>
        <v>-11941.49483285911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2018</v>
      </c>
    </row>
    <row r="20" spans="1:7">
      <c r="B20" s="1" t="s">
        <v>14</v>
      </c>
      <c r="C20" s="36">
        <f>MAX(Output!B6:M6)</f>
        <v>106567.0796706707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</v>
      </c>
    </row>
    <row r="25" spans="1:7">
      <c r="B25" s="1" t="s">
        <v>18</v>
      </c>
      <c r="C25" s="36">
        <f>MAX(Inputs!A56:A60)</f>
        <v>10000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20584.67902874273</v>
      </c>
      <c r="C6" s="51">
        <f>C30-C88</f>
        <v>95931.36494567666</v>
      </c>
      <c r="D6" s="51">
        <f>D30-D88</f>
        <v>106567.0796706707</v>
      </c>
      <c r="E6" s="51">
        <f>E30-E88</f>
        <v>32117.07659571233</v>
      </c>
      <c r="F6" s="51">
        <f>F30-F88</f>
        <v>32117.07659571233</v>
      </c>
      <c r="G6" s="51">
        <f>G30-G88</f>
        <v>32117.07659571233</v>
      </c>
      <c r="H6" s="51">
        <f>H30-H88</f>
        <v>-11941.49483285911</v>
      </c>
      <c r="I6" s="51">
        <f>I30-I88</f>
        <v>11088.50516714089</v>
      </c>
      <c r="J6" s="51">
        <f>J30-J88</f>
        <v>11088.50516714089</v>
      </c>
      <c r="K6" s="51">
        <f>K30-K88</f>
        <v>8088.505167140895</v>
      </c>
      <c r="L6" s="51">
        <f>L30-L88</f>
        <v>11088.50516714089</v>
      </c>
      <c r="M6" s="51">
        <f>M30-M88</f>
        <v>11088.50516714089</v>
      </c>
      <c r="N6" s="51">
        <f>N30-N88</f>
        <v>20584.67902874273</v>
      </c>
      <c r="O6" s="51">
        <f>O30-O88</f>
        <v>95931.36494567666</v>
      </c>
      <c r="P6" s="51">
        <f>P30-P88</f>
        <v>106567.0796706707</v>
      </c>
      <c r="Q6" s="51">
        <f>Q30-Q88</f>
        <v>32117.07659571233</v>
      </c>
      <c r="R6" s="51">
        <f>R30-R88</f>
        <v>32117.07659571233</v>
      </c>
      <c r="S6" s="51">
        <f>S30-S88</f>
        <v>32117.07659571233</v>
      </c>
      <c r="T6" s="51">
        <f>T30-T88</f>
        <v>-11941.49483285911</v>
      </c>
      <c r="U6" s="51">
        <f>U30-U88</f>
        <v>11088.50516714089</v>
      </c>
      <c r="V6" s="51">
        <f>V30-V88</f>
        <v>11088.50516714089</v>
      </c>
      <c r="W6" s="51">
        <f>W30-W88</f>
        <v>8088.505167140895</v>
      </c>
      <c r="X6" s="51">
        <f>X30-X88</f>
        <v>11088.50516714089</v>
      </c>
      <c r="Y6" s="51">
        <f>Y30-Y88</f>
        <v>11088.50516714089</v>
      </c>
      <c r="Z6" s="51">
        <f>SUMIF($B$13:$Y$13,"Yes",B6:Y6)</f>
        <v>476451.428409492</v>
      </c>
      <c r="AA6" s="51">
        <f>AA30-AA88</f>
        <v>359935.3844350727</v>
      </c>
      <c r="AB6" s="51">
        <f>AB30-AB88</f>
        <v>719870.7688701444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16246</v>
      </c>
      <c r="I7" s="80">
        <f>IF(ISERROR(VLOOKUP(MONTH(I5),Inputs!$D$66:$D$71,1,0)),"",INDEX(Inputs!$B$66:$B$71,MATCH(MONTH(Output!I5),Inputs!$D$66:$D$71,0))-INDEX(Inputs!$C$66:$C$71,MATCH(MONTH(Output!I5),Inputs!$D$66:$D$71,0)))</f>
        <v>20009</v>
      </c>
      <c r="J7" s="80">
        <f>IF(ISERROR(VLOOKUP(MONTH(J5),Inputs!$D$66:$D$71,1,0)),"",INDEX(Inputs!$B$66:$B$71,MATCH(MONTH(Output!J5),Inputs!$D$66:$D$71,0))-INDEX(Inputs!$C$66:$C$71,MATCH(MONTH(Output!J5),Inputs!$D$66:$D$71,0)))</f>
        <v>10812</v>
      </c>
      <c r="K7" s="80">
        <f>IF(ISERROR(VLOOKUP(MONTH(K5),Inputs!$D$66:$D$71,1,0)),"",INDEX(Inputs!$B$66:$B$71,MATCH(MONTH(Output!K5),Inputs!$D$66:$D$71,0))-INDEX(Inputs!$C$66:$C$71,MATCH(MONTH(Output!K5),Inputs!$D$66:$D$71,0)))</f>
        <v>12132</v>
      </c>
      <c r="L7" s="80">
        <f>IF(ISERROR(VLOOKUP(MONTH(L5),Inputs!$D$66:$D$71,1,0)),"",INDEX(Inputs!$B$66:$B$71,MATCH(MONTH(Output!L5),Inputs!$D$66:$D$71,0))-INDEX(Inputs!$C$66:$C$71,MATCH(MONTH(Output!L5),Inputs!$D$66:$D$71,0)))</f>
        <v>17679</v>
      </c>
      <c r="M7" s="80">
        <f>IF(ISERROR(VLOOKUP(MONTH(M5),Inputs!$D$66:$D$71,1,0)),"",INDEX(Inputs!$B$66:$B$71,MATCH(MONTH(Output!M5),Inputs!$D$66:$D$71,0))-INDEX(Inputs!$C$66:$C$71,MATCH(MONTH(Output!M5),Inputs!$D$66:$D$71,0)))</f>
        <v>12109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16246</v>
      </c>
      <c r="U7" s="80">
        <f>IF(ISERROR(VLOOKUP(MONTH(U5),Inputs!$D$66:$D$71,1,0)),"",INDEX(Inputs!$B$66:$B$71,MATCH(MONTH(Output!U5),Inputs!$D$66:$D$71,0))-INDEX(Inputs!$C$66:$C$71,MATCH(MONTH(Output!U5),Inputs!$D$66:$D$71,0)))</f>
        <v>20009</v>
      </c>
      <c r="V7" s="80">
        <f>IF(ISERROR(VLOOKUP(MONTH(V5),Inputs!$D$66:$D$71,1,0)),"",INDEX(Inputs!$B$66:$B$71,MATCH(MONTH(Output!V5),Inputs!$D$66:$D$71,0))-INDEX(Inputs!$C$66:$C$71,MATCH(MONTH(Output!V5),Inputs!$D$66:$D$71,0)))</f>
        <v>10812</v>
      </c>
      <c r="W7" s="80">
        <f>IF(ISERROR(VLOOKUP(MONTH(W5),Inputs!$D$66:$D$71,1,0)),"",INDEX(Inputs!$B$66:$B$71,MATCH(MONTH(Output!W5),Inputs!$D$66:$D$71,0))-INDEX(Inputs!$C$66:$C$71,MATCH(MONTH(Output!W5),Inputs!$D$66:$D$71,0)))</f>
        <v>12132</v>
      </c>
      <c r="X7" s="80">
        <f>IF(ISERROR(VLOOKUP(MONTH(X5),Inputs!$D$66:$D$71,1,0)),"",INDEX(Inputs!$B$66:$B$71,MATCH(MONTH(Output!X5),Inputs!$D$66:$D$71,0))-INDEX(Inputs!$C$66:$C$71,MATCH(MONTH(Output!X5),Inputs!$D$66:$D$71,0)))</f>
        <v>17679</v>
      </c>
      <c r="Y7" s="80">
        <f>IF(ISERROR(VLOOKUP(MONTH(Y5),Inputs!$D$66:$D$71,1,0)),"",INDEX(Inputs!$B$66:$B$71,MATCH(MONTH(Output!Y5),Inputs!$D$66:$D$71,0))-INDEX(Inputs!$C$66:$C$71,MATCH(MONTH(Output!Y5),Inputs!$D$66:$D$71,0)))</f>
        <v>12109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25000</v>
      </c>
      <c r="E10" s="37">
        <f>SUMPRODUCT((Calculations!$D$33:$D$84=Output!E5)+0,Calculations!$C$33:$C$84)</f>
        <v>25000</v>
      </c>
      <c r="F10" s="37">
        <f>SUMPRODUCT((Calculations!$D$33:$D$84=Output!F5)+0,Calculations!$C$33:$C$84)</f>
        <v>25000</v>
      </c>
      <c r="G10" s="37">
        <f>SUMPRODUCT((Calculations!$D$33:$D$84=Output!G5)+0,Calculations!$C$33:$C$84)</f>
        <v>25000</v>
      </c>
      <c r="H10" s="37">
        <f>SUMPRODUCT((Calculations!$D$33:$D$84=Output!H5)+0,Calculations!$C$33:$C$84)</f>
        <v>25000</v>
      </c>
      <c r="I10" s="37">
        <f>SUMPRODUCT((Calculations!$D$33:$D$84=Output!I5)+0,Calculations!$C$33:$C$84)</f>
        <v>25000</v>
      </c>
      <c r="J10" s="37">
        <f>SUMPRODUCT((Calculations!$D$33:$D$84=Output!J5)+0,Calculations!$C$33:$C$84)</f>
        <v>25000</v>
      </c>
      <c r="K10" s="37">
        <f>SUMPRODUCT((Calculations!$D$33:$D$84=Output!K5)+0,Calculations!$C$33:$C$84)</f>
        <v>25000</v>
      </c>
      <c r="L10" s="37">
        <f>SUMPRODUCT((Calculations!$D$33:$D$84=Output!L5)+0,Calculations!$C$33:$C$84)</f>
        <v>25000</v>
      </c>
      <c r="M10" s="37">
        <f>SUMPRODUCT((Calculations!$D$33:$D$84=Output!M5)+0,Calculations!$C$33:$C$84)</f>
        <v>25000</v>
      </c>
      <c r="N10" s="37">
        <f>SUMPRODUCT((Calculations!$D$33:$D$84=Output!N5)+0,Calculations!$C$33:$C$84)</f>
        <v>25000</v>
      </c>
      <c r="O10" s="37">
        <f>SUMPRODUCT((Calculations!$D$33:$D$84=Output!O5)+0,Calculations!$C$33:$C$84)</f>
        <v>25000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300000</v>
      </c>
      <c r="AA10" s="37">
        <f>SUM(B10:M10)</f>
        <v>250000</v>
      </c>
      <c r="AB10" s="37">
        <f>SUM(B10:Y10)</f>
        <v>300000</v>
      </c>
    </row>
    <row r="11" spans="1:30" customHeight="1" ht="15.75">
      <c r="A11" s="43" t="s">
        <v>31</v>
      </c>
      <c r="B11" s="80">
        <f>B6+B9-B10</f>
        <v>270584.6790287427</v>
      </c>
      <c r="C11" s="80">
        <f>C6+C9-C10</f>
        <v>95931.36494567666</v>
      </c>
      <c r="D11" s="80">
        <f>D6+D9-D10</f>
        <v>81567.07967067072</v>
      </c>
      <c r="E11" s="80">
        <f>E6+E9-E10</f>
        <v>7117.076595712329</v>
      </c>
      <c r="F11" s="80">
        <f>F6+F9-F10</f>
        <v>7117.076595712329</v>
      </c>
      <c r="G11" s="80">
        <f>G6+G9-G10</f>
        <v>7117.076595712329</v>
      </c>
      <c r="H11" s="80">
        <f>H6+H9-H10</f>
        <v>-36941.49483285911</v>
      </c>
      <c r="I11" s="80">
        <f>I6+I9-I10</f>
        <v>-13911.49483285911</v>
      </c>
      <c r="J11" s="80">
        <f>J6+J9-J10</f>
        <v>-13911.49483285911</v>
      </c>
      <c r="K11" s="80">
        <f>K6+K9-K10</f>
        <v>-16911.49483285911</v>
      </c>
      <c r="L11" s="80">
        <f>L6+L9-L10</f>
        <v>-13911.49483285911</v>
      </c>
      <c r="M11" s="80">
        <f>M6+M9-M10</f>
        <v>-13911.49483285911</v>
      </c>
      <c r="N11" s="80">
        <f>N6+N9-N10</f>
        <v>-4415.320971257272</v>
      </c>
      <c r="O11" s="80">
        <f>O6+O9-O10</f>
        <v>70931.36494567666</v>
      </c>
      <c r="P11" s="80">
        <f>P6+P9-P10</f>
        <v>106567.0796706707</v>
      </c>
      <c r="Q11" s="80">
        <f>Q6+Q9-Q10</f>
        <v>32117.07659571233</v>
      </c>
      <c r="R11" s="80">
        <f>R6+R9-R10</f>
        <v>32117.07659571233</v>
      </c>
      <c r="S11" s="80">
        <f>S6+S9-S10</f>
        <v>32117.07659571233</v>
      </c>
      <c r="T11" s="80">
        <f>T6+T9-T10</f>
        <v>-11941.49483285911</v>
      </c>
      <c r="U11" s="80">
        <f>U6+U9-U10</f>
        <v>11088.50516714089</v>
      </c>
      <c r="V11" s="80">
        <f>V6+V9-V10</f>
        <v>11088.50516714089</v>
      </c>
      <c r="W11" s="80">
        <f>W6+W9-W10</f>
        <v>8088.505167140895</v>
      </c>
      <c r="X11" s="80">
        <f>X6+X9-X10</f>
        <v>11088.50516714089</v>
      </c>
      <c r="Y11" s="80">
        <f>Y6+Y9-Y10</f>
        <v>11088.50516714089</v>
      </c>
      <c r="Z11" s="85">
        <f>SUMIF($B$13:$Y$13,"Yes",B11:Y11)</f>
        <v>426451.428409492</v>
      </c>
      <c r="AA11" s="80">
        <f>SUM(B11:M11)</f>
        <v>359935.3844350726</v>
      </c>
      <c r="AB11" s="46">
        <f>SUM(B11:Y11)</f>
        <v>669870.7688701448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0.05284483582372546</v>
      </c>
      <c r="E12" s="82">
        <f>IF(E13="Yes",IF(SUM($B$10:E10)/(SUM($B$6:E6)+SUM($B$9:E9))&lt;0,999.99,SUM($B$10:E10)/(SUM($B$6:E6)+SUM($B$9:E9))),"")</f>
        <v>0.09897066544345712</v>
      </c>
      <c r="F12" s="82">
        <f>IF(F13="Yes",IF(SUM($B$10:F10)/(SUM($B$6:F6)+SUM($B$9:F9))&lt;0,999.99,SUM($B$10:F10)/(SUM($B$6:F6)+SUM($B$9:F9))),"")</f>
        <v>0.1395823347456212</v>
      </c>
      <c r="G12" s="82">
        <f>IF(G13="Yes",IF(SUM($B$10:G10)/(SUM($B$6:G6)+SUM($B$9:G9))&lt;0,999.99,SUM($B$10:G10)/(SUM($B$6:G6)+SUM($B$9:G9))),"")</f>
        <v>0.1756128680984151</v>
      </c>
      <c r="H12" s="82">
        <f>IF(H13="Yes",IF(SUM($B$10:H10)/(SUM($B$6:H6)+SUM($B$9:H9))&lt;0,999.99,SUM($B$10:H10)/(SUM($B$6:H6)+SUM($B$9:H9))),"")</f>
        <v>0.2242181188007449</v>
      </c>
      <c r="I12" s="82">
        <f>IF(I13="Yes",IF(SUM($B$10:I10)/(SUM($B$6:I6)+SUM($B$9:I9))&lt;0,999.99,SUM($B$10:I10)/(SUM($B$6:I6)+SUM($B$9:I9))),"")</f>
        <v>0.2638144855933026</v>
      </c>
      <c r="J12" s="82">
        <f>IF(J13="Yes",IF(SUM($B$10:J10)/(SUM($B$6:J6)+SUM($B$9:J9))&lt;0,999.99,SUM($B$10:J10)/(SUM($B$6:J6)+SUM($B$9:J9))),"")</f>
        <v>0.3018959745517338</v>
      </c>
      <c r="K12" s="82">
        <f>IF(K13="Yes",IF(SUM($B$10:K10)/(SUM($B$6:K6)+SUM($B$9:K9))&lt;0,999.99,SUM($B$10:K10)/(SUM($B$6:K6)+SUM($B$9:K9))),"")</f>
        <v>0.3402758834461171</v>
      </c>
      <c r="L12" s="82">
        <f>IF(L13="Yes",IF(SUM($B$10:L10)/(SUM($B$6:L6)+SUM($B$9:L9))&lt;0,999.99,SUM($B$10:L10)/(SUM($B$6:L6)+SUM($B$9:L9))),"")</f>
        <v>0.3757220882156959</v>
      </c>
      <c r="M12" s="82">
        <f>IF(M13="Yes",IF(SUM($B$10:M10)/(SUM($B$6:M6)+SUM($B$9:M9))&lt;0,999.99,SUM($B$10:M10)/(SUM($B$6:M6)+SUM($B$9:M9))),"")</f>
        <v>0.409879482941545</v>
      </c>
      <c r="N12" s="82">
        <f>IF(N13="Yes",IF(SUM($B$10:N10)/(SUM($B$6:N6)+SUM($B$9:N9))&lt;0,999.99,SUM($B$10:N10)/(SUM($B$6:N6)+SUM($B$9:N9))),"")</f>
        <v>0.4361478974820631</v>
      </c>
      <c r="O12" s="82">
        <f>IF(O13="Yes",IF(SUM($B$10:O10)/(SUM($B$6:O6)+SUM($B$9:O9))&lt;0,999.99,SUM($B$10:O10)/(SUM($B$6:O6)+SUM($B$9:O9))),"")</f>
        <v>0.4129663570995054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53178.57362497028</v>
      </c>
      <c r="C18" s="36">
        <f>O18</f>
        <v>63814.28834996434</v>
      </c>
      <c r="D18" s="36">
        <f>P18</f>
        <v>74450.0030749584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53178.57362497028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63814.28834996434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74450.0030749584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308435.7270248276</v>
      </c>
      <c r="AA18" s="36">
        <f>SUM(B18:M18)</f>
        <v>191442.865049893</v>
      </c>
      <c r="AB18" s="36">
        <f>SUM(B18:Y18)</f>
        <v>382885.730099786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58832.23684210526</v>
      </c>
      <c r="C24" s="36">
        <f>IFERROR(Calculations!$P14/12,"")</f>
        <v>58832.23684210526</v>
      </c>
      <c r="D24" s="36">
        <f>IFERROR(Calculations!$P14/12,"")</f>
        <v>58832.23684210526</v>
      </c>
      <c r="E24" s="36">
        <f>IFERROR(Calculations!$P14/12,"")</f>
        <v>58832.23684210526</v>
      </c>
      <c r="F24" s="36">
        <f>IFERROR(Calculations!$P14/12,"")</f>
        <v>58832.23684210526</v>
      </c>
      <c r="G24" s="36">
        <f>IFERROR(Calculations!$P14/12,"")</f>
        <v>58832.23684210526</v>
      </c>
      <c r="H24" s="36">
        <f>IFERROR(Calculations!$P14/12,"")</f>
        <v>58832.23684210526</v>
      </c>
      <c r="I24" s="36">
        <f>IFERROR(Calculations!$P14/12,"")</f>
        <v>58832.23684210526</v>
      </c>
      <c r="J24" s="36">
        <f>IFERROR(Calculations!$P14/12,"")</f>
        <v>58832.23684210526</v>
      </c>
      <c r="K24" s="36">
        <f>IFERROR(Calculations!$P14/12,"")</f>
        <v>58832.23684210526</v>
      </c>
      <c r="L24" s="36">
        <f>IFERROR(Calculations!$P14/12,"")</f>
        <v>58832.23684210526</v>
      </c>
      <c r="M24" s="36">
        <f>IFERROR(Calculations!$P14/12,"")</f>
        <v>58832.23684210526</v>
      </c>
      <c r="N24" s="36">
        <f>IFERROR(Calculations!$P14/12,"")</f>
        <v>58832.23684210526</v>
      </c>
      <c r="O24" s="36">
        <f>IFERROR(Calculations!$P14/12,"")</f>
        <v>58832.23684210526</v>
      </c>
      <c r="P24" s="36">
        <f>IFERROR(Calculations!$P14/12,"")</f>
        <v>58832.23684210526</v>
      </c>
      <c r="Q24" s="36">
        <f>IFERROR(Calculations!$P14/12,"")</f>
        <v>58832.23684210526</v>
      </c>
      <c r="R24" s="36">
        <f>IFERROR(Calculations!$P14/12,"")</f>
        <v>58832.23684210526</v>
      </c>
      <c r="S24" s="36">
        <f>IFERROR(Calculations!$P14/12,"")</f>
        <v>58832.23684210526</v>
      </c>
      <c r="T24" s="36">
        <f>IFERROR(Calculations!$P14/12,"")</f>
        <v>58832.23684210526</v>
      </c>
      <c r="U24" s="36">
        <f>IFERROR(Calculations!$P14/12,"")</f>
        <v>58832.23684210526</v>
      </c>
      <c r="V24" s="36">
        <f>IFERROR(Calculations!$P14/12,"")</f>
        <v>58832.23684210526</v>
      </c>
      <c r="W24" s="36">
        <f>IFERROR(Calculations!$P14/12,"")</f>
        <v>58832.23684210526</v>
      </c>
      <c r="X24" s="36">
        <f>IFERROR(Calculations!$P14/12,"")</f>
        <v>58832.23684210526</v>
      </c>
      <c r="Y24" s="36">
        <f>IFERROR(Calculations!$P14/12,"")</f>
        <v>58832.23684210526</v>
      </c>
      <c r="Z24" s="36">
        <f>SUMIF($B$13:$Y$13,"Yes",B24:Y24)</f>
        <v>823651.3157894738</v>
      </c>
      <c r="AA24" s="36">
        <f>SUM(B24:M24)</f>
        <v>705986.8421052633</v>
      </c>
      <c r="AB24" s="46">
        <f>SUM(B24:Y24)</f>
        <v>1411973.684210526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112010.8104670755</v>
      </c>
      <c r="C30" s="19">
        <f>SUM(C18:C29)</f>
        <v>122646.5251920696</v>
      </c>
      <c r="D30" s="19">
        <f>SUM(D18:D29)</f>
        <v>133282.2399170636</v>
      </c>
      <c r="E30" s="19">
        <f>SUM(E18:E29)</f>
        <v>58832.23684210526</v>
      </c>
      <c r="F30" s="19">
        <f>SUM(F18:F29)</f>
        <v>58832.23684210526</v>
      </c>
      <c r="G30" s="19">
        <f>SUM(G18:G29)</f>
        <v>58832.23684210526</v>
      </c>
      <c r="H30" s="19">
        <f>SUM(H18:H29)</f>
        <v>58832.23684210526</v>
      </c>
      <c r="I30" s="19">
        <f>SUM(I18:I29)</f>
        <v>58832.23684210526</v>
      </c>
      <c r="J30" s="19">
        <f>SUM(J18:J29)</f>
        <v>58832.23684210526</v>
      </c>
      <c r="K30" s="19">
        <f>SUM(K18:K29)</f>
        <v>58832.23684210526</v>
      </c>
      <c r="L30" s="19">
        <f>SUM(L18:L29)</f>
        <v>58832.23684210526</v>
      </c>
      <c r="M30" s="19">
        <f>SUM(M18:M29)</f>
        <v>58832.23684210526</v>
      </c>
      <c r="N30" s="19">
        <f>SUM(N18:N29)</f>
        <v>112010.8104670755</v>
      </c>
      <c r="O30" s="19">
        <f>SUM(O18:O29)</f>
        <v>122646.5251920696</v>
      </c>
      <c r="P30" s="19">
        <f>SUM(P18:P29)</f>
        <v>133282.2399170636</v>
      </c>
      <c r="Q30" s="19">
        <f>SUM(Q18:Q29)</f>
        <v>58832.23684210526</v>
      </c>
      <c r="R30" s="19">
        <f>SUM(R18:R29)</f>
        <v>58832.23684210526</v>
      </c>
      <c r="S30" s="19">
        <f>SUM(S18:S29)</f>
        <v>58832.23684210526</v>
      </c>
      <c r="T30" s="19">
        <f>SUM(T18:T29)</f>
        <v>58832.23684210526</v>
      </c>
      <c r="U30" s="19">
        <f>SUM(U18:U29)</f>
        <v>58832.23684210526</v>
      </c>
      <c r="V30" s="19">
        <f>SUM(V18:V29)</f>
        <v>58832.23684210526</v>
      </c>
      <c r="W30" s="19">
        <f>SUM(W18:W29)</f>
        <v>58832.23684210526</v>
      </c>
      <c r="X30" s="19">
        <f>SUM(X18:X29)</f>
        <v>58832.23684210526</v>
      </c>
      <c r="Y30" s="19">
        <f>SUM(Y18:Y29)</f>
        <v>58832.23684210526</v>
      </c>
      <c r="Z30" s="19">
        <f>SUMIF($B$13:$Y$13,"Yes",B30:Y30)</f>
        <v>1132087.042814301</v>
      </c>
      <c r="AA30" s="19">
        <f>SUM(B30:M30)</f>
        <v>897429.7071551563</v>
      </c>
      <c r="AB30" s="19">
        <f>SUM(B30:Y30)</f>
        <v>1794859.414310311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20000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20000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20000</v>
      </c>
      <c r="AA36" s="36">
        <f>SUM(B36:M36)</f>
        <v>20000</v>
      </c>
      <c r="AB36" s="36">
        <f>SUM(B36:Y36)</f>
        <v>40000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20000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20000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20000</v>
      </c>
      <c r="AA37" s="36">
        <f>SUM(B37:M37)</f>
        <v>20000</v>
      </c>
      <c r="AB37" s="36">
        <f>SUM(B37:Y37)</f>
        <v>40000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3030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3030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3030</v>
      </c>
      <c r="AA42" s="36">
        <f>SUM(B42:M42)</f>
        <v>3030</v>
      </c>
      <c r="AB42" s="36">
        <f>SUM(B42:Y42)</f>
        <v>6060.000000000001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3030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3030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3030</v>
      </c>
      <c r="AA43" s="36">
        <f>SUM(B43:M43)</f>
        <v>3030</v>
      </c>
      <c r="AB43" s="36">
        <f>SUM(B43:Y43)</f>
        <v>6060.000000000001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3000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3000</v>
      </c>
      <c r="X48" s="46">
        <f>SUM(X49:X53)</f>
        <v>0</v>
      </c>
      <c r="Y48" s="46">
        <f>SUM(Y49:Y53)</f>
        <v>0</v>
      </c>
      <c r="Z48" s="46">
        <f>SUMIF($B$13:$Y$13,"Yes",B48:Y48)</f>
        <v>3000</v>
      </c>
      <c r="AA48" s="46">
        <f>SUM(B48:M48)</f>
        <v>3000</v>
      </c>
      <c r="AB48" s="46">
        <f>SUM(B48:Y48)</f>
        <v>6000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3000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3000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3000</v>
      </c>
      <c r="AA49" s="46">
        <f>SUM(B49:M49)</f>
        <v>3000</v>
      </c>
      <c r="AB49" s="46">
        <f>SUM(B49:Y49)</f>
        <v>6000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43682.39976336844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43682.39976336844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87364.79952673688</v>
      </c>
      <c r="AA54" s="46">
        <f>SUM(B54:M54)</f>
        <v>43682.39976336844</v>
      </c>
      <c r="AB54" s="46">
        <f>SUM(B54:Y54)</f>
        <v>87364.79952673688</v>
      </c>
    </row>
    <row r="55" spans="1:30" hidden="true" outlineLevel="1">
      <c r="A55" s="181" t="str">
        <f>Calculations!$A$4</f>
        <v>Maize</v>
      </c>
      <c r="B55" s="36">
        <f>N55</f>
        <v>43682.39976336844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43682.39976336844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87364.79952673688</v>
      </c>
      <c r="AA55" s="46">
        <f>SUM(B55:M55)</f>
        <v>43682.39976336844</v>
      </c>
      <c r="AB55" s="46">
        <f>SUM(B55:Y55)</f>
        <v>87364.79952673688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7142.857142857143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7142.857142857143</v>
      </c>
      <c r="I60" s="36">
        <f>U60</f>
        <v>7142.857142857143</v>
      </c>
      <c r="J60" s="36">
        <f>V60</f>
        <v>7142.857142857143</v>
      </c>
      <c r="K60" s="36">
        <f>W60</f>
        <v>7142.857142857143</v>
      </c>
      <c r="L60" s="36">
        <f>X60</f>
        <v>7142.857142857143</v>
      </c>
      <c r="M60" s="36">
        <f>Y60</f>
        <v>7142.857142857143</v>
      </c>
      <c r="N60" s="46">
        <f>SUM(N61:N65)</f>
        <v>7142.857142857143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7142.857142857143</v>
      </c>
      <c r="U60" s="46">
        <f>SUM(U61:U65)</f>
        <v>7142.857142857143</v>
      </c>
      <c r="V60" s="46">
        <f>SUM(V61:V65)</f>
        <v>7142.857142857143</v>
      </c>
      <c r="W60" s="46">
        <f>SUM(W61:W65)</f>
        <v>7142.857142857143</v>
      </c>
      <c r="X60" s="46">
        <f>SUM(X61:X65)</f>
        <v>7142.857142857143</v>
      </c>
      <c r="Y60" s="46">
        <f>SUM(Y61:Y65)</f>
        <v>7142.857142857143</v>
      </c>
      <c r="Z60" s="46">
        <f>SUMIF($B$13:$Y$13,"Yes",B60:Y60)</f>
        <v>57142.85714285715</v>
      </c>
      <c r="AA60" s="46">
        <f>SUM(B60:M60)</f>
        <v>50000.00000000001</v>
      </c>
      <c r="AB60" s="46">
        <f>SUM(B60:Y60)</f>
        <v>100000</v>
      </c>
    </row>
    <row r="61" spans="1:30" hidden="true" outlineLevel="1">
      <c r="A61" s="181" t="str">
        <f>Calculations!$A$4</f>
        <v>Maize</v>
      </c>
      <c r="B61" s="36">
        <f>N61</f>
        <v>7142.857142857143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7142.857142857143</v>
      </c>
      <c r="I61" s="36">
        <f>U61</f>
        <v>7142.857142857143</v>
      </c>
      <c r="J61" s="36">
        <f>V61</f>
        <v>7142.857142857143</v>
      </c>
      <c r="K61" s="36">
        <f>W61</f>
        <v>7142.857142857143</v>
      </c>
      <c r="L61" s="36">
        <f>X61</f>
        <v>7142.857142857143</v>
      </c>
      <c r="M61" s="36">
        <f>Y61</f>
        <v>7142.857142857143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7142.857142857143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7142.857142857143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7142.857142857143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7142.857142857143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7142.857142857143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7142.857142857143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7142.857142857143</v>
      </c>
      <c r="Z61" s="46">
        <f>SUMIF($B$13:$Y$13,"Yes",B61:Y61)</f>
        <v>57142.85714285715</v>
      </c>
      <c r="AA61" s="46">
        <f>SUM(B61:M61)</f>
        <v>50000.00000000001</v>
      </c>
      <c r="AB61" s="46">
        <f>SUM(B61:Y61)</f>
        <v>100000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13885.71428571429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13885.71428571429</v>
      </c>
      <c r="I66" s="36">
        <f>U66</f>
        <v>13885.71428571429</v>
      </c>
      <c r="J66" s="36">
        <f>V66</f>
        <v>13885.71428571429</v>
      </c>
      <c r="K66" s="36">
        <f>W66</f>
        <v>13885.71428571429</v>
      </c>
      <c r="L66" s="36">
        <f>X66</f>
        <v>13885.71428571429</v>
      </c>
      <c r="M66" s="36">
        <f>Y66</f>
        <v>13885.71428571429</v>
      </c>
      <c r="N66" s="46">
        <f>SUM(N67:N71)</f>
        <v>13885.71428571429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13885.71428571429</v>
      </c>
      <c r="U66" s="46">
        <f>SUM(U67:U71)</f>
        <v>13885.71428571429</v>
      </c>
      <c r="V66" s="46">
        <f>SUM(V67:V71)</f>
        <v>13885.71428571429</v>
      </c>
      <c r="W66" s="46">
        <f>SUM(W67:W71)</f>
        <v>13885.71428571429</v>
      </c>
      <c r="X66" s="46">
        <f>SUM(X67:X71)</f>
        <v>13885.71428571429</v>
      </c>
      <c r="Y66" s="46">
        <f>SUM(Y67:Y71)</f>
        <v>13885.71428571429</v>
      </c>
      <c r="Z66" s="46">
        <f>SUMIF($B$13:$Y$13,"Yes",B66:Y66)</f>
        <v>111085.7142857143</v>
      </c>
      <c r="AA66" s="46">
        <f>SUM(B66:M66)</f>
        <v>97200.00000000001</v>
      </c>
      <c r="AB66" s="46">
        <f>SUM(B66:Y66)</f>
        <v>194400</v>
      </c>
    </row>
    <row r="67" spans="1:30" hidden="true" outlineLevel="1">
      <c r="A67" s="181" t="str">
        <f>Calculations!$A$4</f>
        <v>Maize</v>
      </c>
      <c r="B67" s="36">
        <f>N67</f>
        <v>13885.71428571429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13885.71428571429</v>
      </c>
      <c r="I67" s="36">
        <f>U67</f>
        <v>13885.71428571429</v>
      </c>
      <c r="J67" s="36">
        <f>V67</f>
        <v>13885.71428571429</v>
      </c>
      <c r="K67" s="36">
        <f>W67</f>
        <v>13885.71428571429</v>
      </c>
      <c r="L67" s="36">
        <f>X67</f>
        <v>13885.71428571429</v>
      </c>
      <c r="M67" s="36">
        <f>Y67</f>
        <v>13885.71428571429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13885.71428571429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13885.71428571429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13885.71428571429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13885.71428571429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13885.71428571429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13885.71428571429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13885.71428571429</v>
      </c>
      <c r="Z67" s="46">
        <f>SUMIF($B$13:$Y$13,"Yes",B67:Y67)</f>
        <v>111085.7142857143</v>
      </c>
      <c r="AA67" s="46">
        <f>SUM(B67:M67)</f>
        <v>97200.00000000001</v>
      </c>
      <c r="AB67" s="46">
        <f>SUM(B67:Y67)</f>
        <v>194400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3802.083333333333</v>
      </c>
      <c r="C74" s="46">
        <f>SUM(Calculations!$Q$14:$Q$16)/12</f>
        <v>3802.083333333333</v>
      </c>
      <c r="D74" s="46">
        <f>SUM(Calculations!$Q$14:$Q$16)/12</f>
        <v>3802.083333333333</v>
      </c>
      <c r="E74" s="46">
        <f>SUM(Calculations!$Q$14:$Q$16)/12</f>
        <v>3802.083333333333</v>
      </c>
      <c r="F74" s="46">
        <f>SUM(Calculations!$Q$14:$Q$16)/12</f>
        <v>3802.083333333333</v>
      </c>
      <c r="G74" s="46">
        <f>SUM(Calculations!$Q$14:$Q$16)/12</f>
        <v>3802.083333333333</v>
      </c>
      <c r="H74" s="46">
        <f>SUM(Calculations!$Q$14:$Q$16)/12</f>
        <v>3802.083333333333</v>
      </c>
      <c r="I74" s="46">
        <f>SUM(Calculations!$Q$14:$Q$16)/12</f>
        <v>3802.083333333333</v>
      </c>
      <c r="J74" s="46">
        <f>SUM(Calculations!$Q$14:$Q$16)/12</f>
        <v>3802.083333333333</v>
      </c>
      <c r="K74" s="46">
        <f>SUM(Calculations!$Q$14:$Q$16)/12</f>
        <v>3802.083333333333</v>
      </c>
      <c r="L74" s="46">
        <f>SUM(Calculations!$Q$14:$Q$16)/12</f>
        <v>3802.083333333333</v>
      </c>
      <c r="M74" s="46">
        <f>SUM(Calculations!$Q$14:$Q$16)/12</f>
        <v>3802.083333333333</v>
      </c>
      <c r="N74" s="46">
        <f>SUM(Calculations!$Q$14:$Q$16)/12</f>
        <v>3802.083333333333</v>
      </c>
      <c r="O74" s="46">
        <f>SUM(Calculations!$Q$14:$Q$16)/12</f>
        <v>3802.083333333333</v>
      </c>
      <c r="P74" s="46">
        <f>SUM(Calculations!$Q$14:$Q$16)/12</f>
        <v>3802.083333333333</v>
      </c>
      <c r="Q74" s="46">
        <f>SUM(Calculations!$Q$14:$Q$16)/12</f>
        <v>3802.083333333333</v>
      </c>
      <c r="R74" s="46">
        <f>SUM(Calculations!$Q$14:$Q$16)/12</f>
        <v>3802.083333333333</v>
      </c>
      <c r="S74" s="46">
        <f>SUM(Calculations!$Q$14:$Q$16)/12</f>
        <v>3802.083333333333</v>
      </c>
      <c r="T74" s="46">
        <f>SUM(Calculations!$Q$14:$Q$16)/12</f>
        <v>3802.083333333333</v>
      </c>
      <c r="U74" s="46">
        <f>SUM(Calculations!$Q$14:$Q$16)/12</f>
        <v>3802.083333333333</v>
      </c>
      <c r="V74" s="46">
        <f>SUM(Calculations!$Q$14:$Q$16)/12</f>
        <v>3802.083333333333</v>
      </c>
      <c r="W74" s="46">
        <f>SUM(Calculations!$Q$14:$Q$16)/12</f>
        <v>3802.083333333333</v>
      </c>
      <c r="X74" s="46">
        <f>SUM(Calculations!$Q$14:$Q$16)/12</f>
        <v>3802.083333333333</v>
      </c>
      <c r="Y74" s="46">
        <f>SUM(Calculations!$Q$14:$Q$16)/12</f>
        <v>3802.083333333333</v>
      </c>
      <c r="Z74" s="46">
        <f>SUMIF($B$13:$Y$13,"Yes",B74:Y74)</f>
        <v>53229.16666666668</v>
      </c>
      <c r="AA74" s="46">
        <f>SUM(B74:M74)</f>
        <v>45625.00000000001</v>
      </c>
      <c r="AB74" s="46">
        <f>SUM(B74:Y74)</f>
        <v>91249.99999999999</v>
      </c>
    </row>
    <row r="75" spans="1:30">
      <c r="A75" s="16" t="s">
        <v>47</v>
      </c>
      <c r="B75" s="46">
        <f>SUM(Calculations!$R$14:$R$16)/12</f>
        <v>416.6666666666667</v>
      </c>
      <c r="C75" s="46">
        <f>SUM(Calculations!$R$14:$R$16)/12</f>
        <v>416.6666666666667</v>
      </c>
      <c r="D75" s="46">
        <f>SUM(Calculations!$R$14:$R$16)/12</f>
        <v>416.6666666666667</v>
      </c>
      <c r="E75" s="46">
        <f>SUM(Calculations!$R$14:$R$16)/12</f>
        <v>416.6666666666667</v>
      </c>
      <c r="F75" s="46">
        <f>SUM(Calculations!$R$14:$R$16)/12</f>
        <v>416.6666666666667</v>
      </c>
      <c r="G75" s="46">
        <f>SUM(Calculations!$R$14:$R$16)/12</f>
        <v>416.6666666666667</v>
      </c>
      <c r="H75" s="46">
        <f>SUM(Calculations!$R$14:$R$16)/12</f>
        <v>416.6666666666667</v>
      </c>
      <c r="I75" s="46">
        <f>SUM(Calculations!$R$14:$R$16)/12</f>
        <v>416.6666666666667</v>
      </c>
      <c r="J75" s="46">
        <f>SUM(Calculations!$R$14:$R$16)/12</f>
        <v>416.6666666666667</v>
      </c>
      <c r="K75" s="46">
        <f>SUM(Calculations!$R$14:$R$16)/12</f>
        <v>416.6666666666667</v>
      </c>
      <c r="L75" s="46">
        <f>SUM(Calculations!$R$14:$R$16)/12</f>
        <v>416.6666666666667</v>
      </c>
      <c r="M75" s="46">
        <f>SUM(Calculations!$R$14:$R$16)/12</f>
        <v>416.6666666666667</v>
      </c>
      <c r="N75" s="46">
        <f>SUM(Calculations!$R$14:$R$16)/12</f>
        <v>416.6666666666667</v>
      </c>
      <c r="O75" s="46">
        <f>SUM(Calculations!$R$14:$R$16)/12</f>
        <v>416.6666666666667</v>
      </c>
      <c r="P75" s="46">
        <f>SUM(Calculations!$R$14:$R$16)/12</f>
        <v>416.6666666666667</v>
      </c>
      <c r="Q75" s="46">
        <f>SUM(Calculations!$R$14:$R$16)/12</f>
        <v>416.6666666666667</v>
      </c>
      <c r="R75" s="46">
        <f>SUM(Calculations!$R$14:$R$16)/12</f>
        <v>416.6666666666667</v>
      </c>
      <c r="S75" s="46">
        <f>SUM(Calculations!$R$14:$R$16)/12</f>
        <v>416.6666666666667</v>
      </c>
      <c r="T75" s="46">
        <f>SUM(Calculations!$R$14:$R$16)/12</f>
        <v>416.6666666666667</v>
      </c>
      <c r="U75" s="46">
        <f>SUM(Calculations!$R$14:$R$16)/12</f>
        <v>416.6666666666667</v>
      </c>
      <c r="V75" s="46">
        <f>SUM(Calculations!$R$14:$R$16)/12</f>
        <v>416.6666666666667</v>
      </c>
      <c r="W75" s="46">
        <f>SUM(Calculations!$R$14:$R$16)/12</f>
        <v>416.6666666666667</v>
      </c>
      <c r="X75" s="46">
        <f>SUM(Calculations!$R$14:$R$16)/12</f>
        <v>416.6666666666667</v>
      </c>
      <c r="Y75" s="46">
        <f>SUM(Calculations!$R$14:$R$16)/12</f>
        <v>416.6666666666667</v>
      </c>
      <c r="Z75" s="46">
        <f>SUMIF($B$13:$Y$13,"Yes",B75:Y75)</f>
        <v>5833.333333333334</v>
      </c>
      <c r="AA75" s="46">
        <f>SUM(B75:M75)</f>
        <v>5000</v>
      </c>
      <c r="AB75" s="46">
        <f>SUM(B75:Y75)</f>
        <v>10000</v>
      </c>
    </row>
    <row r="76" spans="1:30">
      <c r="A76" s="16" t="s">
        <v>48</v>
      </c>
      <c r="B76" s="46">
        <f>SUM(Calculations!$S$14:$S$16)/12</f>
        <v>2500</v>
      </c>
      <c r="C76" s="46">
        <f>SUM(Calculations!$S$14:$S$16)/12</f>
        <v>2500</v>
      </c>
      <c r="D76" s="46">
        <f>SUM(Calculations!$S$14:$S$16)/12</f>
        <v>2500</v>
      </c>
      <c r="E76" s="46">
        <f>SUM(Calculations!$S$14:$S$16)/12</f>
        <v>2500</v>
      </c>
      <c r="F76" s="46">
        <f>SUM(Calculations!$S$14:$S$16)/12</f>
        <v>2500</v>
      </c>
      <c r="G76" s="46">
        <f>SUM(Calculations!$S$14:$S$16)/12</f>
        <v>2500</v>
      </c>
      <c r="H76" s="46">
        <f>SUM(Calculations!$S$14:$S$16)/12</f>
        <v>2500</v>
      </c>
      <c r="I76" s="46">
        <f>SUM(Calculations!$S$14:$S$16)/12</f>
        <v>2500</v>
      </c>
      <c r="J76" s="46">
        <f>SUM(Calculations!$S$14:$S$16)/12</f>
        <v>2500</v>
      </c>
      <c r="K76" s="46">
        <f>SUM(Calculations!$S$14:$S$16)/12</f>
        <v>2500</v>
      </c>
      <c r="L76" s="46">
        <f>SUM(Calculations!$S$14:$S$16)/12</f>
        <v>2500</v>
      </c>
      <c r="M76" s="46">
        <f>SUM(Calculations!$S$14:$S$16)/12</f>
        <v>2500</v>
      </c>
      <c r="N76" s="46">
        <f>SUM(Calculations!$S$14:$S$16)/12</f>
        <v>2500</v>
      </c>
      <c r="O76" s="46">
        <f>SUM(Calculations!$S$14:$S$16)/12</f>
        <v>2500</v>
      </c>
      <c r="P76" s="46">
        <f>SUM(Calculations!$S$14:$S$16)/12</f>
        <v>2500</v>
      </c>
      <c r="Q76" s="46">
        <f>SUM(Calculations!$S$14:$S$16)/12</f>
        <v>2500</v>
      </c>
      <c r="R76" s="46">
        <f>SUM(Calculations!$S$14:$S$16)/12</f>
        <v>2500</v>
      </c>
      <c r="S76" s="46">
        <f>SUM(Calculations!$S$14:$S$16)/12</f>
        <v>2500</v>
      </c>
      <c r="T76" s="46">
        <f>SUM(Calculations!$S$14:$S$16)/12</f>
        <v>2500</v>
      </c>
      <c r="U76" s="46">
        <f>SUM(Calculations!$S$14:$S$16)/12</f>
        <v>2500</v>
      </c>
      <c r="V76" s="46">
        <f>SUM(Calculations!$S$14:$S$16)/12</f>
        <v>2500</v>
      </c>
      <c r="W76" s="46">
        <f>SUM(Calculations!$S$14:$S$16)/12</f>
        <v>2500</v>
      </c>
      <c r="X76" s="46">
        <f>SUM(Calculations!$S$14:$S$16)/12</f>
        <v>2500</v>
      </c>
      <c r="Y76" s="46">
        <f>SUM(Calculations!$S$14:$S$16)/12</f>
        <v>2500</v>
      </c>
      <c r="Z76" s="46">
        <f>SUMIF($B$13:$Y$13,"Yes",B76:Y76)</f>
        <v>35000</v>
      </c>
      <c r="AA76" s="46">
        <f>SUM(B76:M76)</f>
        <v>30000</v>
      </c>
      <c r="AB76" s="46">
        <f>SUM(B76:Y76)</f>
        <v>60000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19996.41024639293</v>
      </c>
      <c r="C81" s="46">
        <f>(SUM($AA$18:$AA$29)-SUM($AA$36,$AA$42,$AA$48,$AA$54,$AA$60,$AA$66,$AA$72:$AA$79))*Parameters!$B$37/12</f>
        <v>19996.41024639293</v>
      </c>
      <c r="D81" s="46">
        <f>(SUM($AA$18:$AA$29)-SUM($AA$36,$AA$42,$AA$48,$AA$54,$AA$60,$AA$66,$AA$72:$AA$79))*Parameters!$B$37/12</f>
        <v>19996.41024639293</v>
      </c>
      <c r="E81" s="46">
        <f>(SUM($AA$18:$AA$29)-SUM($AA$36,$AA$42,$AA$48,$AA$54,$AA$60,$AA$66,$AA$72:$AA$79))*Parameters!$B$37/12</f>
        <v>19996.41024639293</v>
      </c>
      <c r="F81" s="46">
        <f>(SUM($AA$18:$AA$29)-SUM($AA$36,$AA$42,$AA$48,$AA$54,$AA$60,$AA$66,$AA$72:$AA$79))*Parameters!$B$37/12</f>
        <v>19996.41024639293</v>
      </c>
      <c r="G81" s="46">
        <f>(SUM($AA$18:$AA$29)-SUM($AA$36,$AA$42,$AA$48,$AA$54,$AA$60,$AA$66,$AA$72:$AA$79))*Parameters!$B$37/12</f>
        <v>19996.41024639293</v>
      </c>
      <c r="H81" s="46">
        <f>(SUM($AA$18:$AA$29)-SUM($AA$36,$AA$42,$AA$48,$AA$54,$AA$60,$AA$66,$AA$72:$AA$79))*Parameters!$B$37/12</f>
        <v>19996.41024639293</v>
      </c>
      <c r="I81" s="46">
        <f>(SUM($AA$18:$AA$29)-SUM($AA$36,$AA$42,$AA$48,$AA$54,$AA$60,$AA$66,$AA$72:$AA$79))*Parameters!$B$37/12</f>
        <v>19996.41024639293</v>
      </c>
      <c r="J81" s="46">
        <f>(SUM($AA$18:$AA$29)-SUM($AA$36,$AA$42,$AA$48,$AA$54,$AA$60,$AA$66,$AA$72:$AA$79))*Parameters!$B$37/12</f>
        <v>19996.41024639293</v>
      </c>
      <c r="K81" s="46">
        <f>(SUM($AA$18:$AA$29)-SUM($AA$36,$AA$42,$AA$48,$AA$54,$AA$60,$AA$66,$AA$72:$AA$79))*Parameters!$B$37/12</f>
        <v>19996.41024639293</v>
      </c>
      <c r="L81" s="46">
        <f>(SUM($AA$18:$AA$29)-SUM($AA$36,$AA$42,$AA$48,$AA$54,$AA$60,$AA$66,$AA$72:$AA$79))*Parameters!$B$37/12</f>
        <v>19996.41024639293</v>
      </c>
      <c r="M81" s="46">
        <f>(SUM($AA$18:$AA$29)-SUM($AA$36,$AA$42,$AA$48,$AA$54,$AA$60,$AA$66,$AA$72:$AA$79))*Parameters!$B$37/12</f>
        <v>19996.41024639293</v>
      </c>
      <c r="N81" s="46">
        <f>(SUM($AA$18:$AA$29)-SUM($AA$36,$AA$42,$AA$48,$AA$54,$AA$60,$AA$66,$AA$72:$AA$79))*Parameters!$B$37/12</f>
        <v>19996.41024639293</v>
      </c>
      <c r="O81" s="46">
        <f>(SUM($AA$18:$AA$29)-SUM($AA$36,$AA$42,$AA$48,$AA$54,$AA$60,$AA$66,$AA$72:$AA$79))*Parameters!$B$37/12</f>
        <v>19996.41024639293</v>
      </c>
      <c r="P81" s="46">
        <f>(SUM($AA$18:$AA$29)-SUM($AA$36,$AA$42,$AA$48,$AA$54,$AA$60,$AA$66,$AA$72:$AA$79))*Parameters!$B$37/12</f>
        <v>19996.41024639293</v>
      </c>
      <c r="Q81" s="46">
        <f>(SUM($AA$18:$AA$29)-SUM($AA$36,$AA$42,$AA$48,$AA$54,$AA$60,$AA$66,$AA$72:$AA$79))*Parameters!$B$37/12</f>
        <v>19996.41024639293</v>
      </c>
      <c r="R81" s="46">
        <f>(SUM($AA$18:$AA$29)-SUM($AA$36,$AA$42,$AA$48,$AA$54,$AA$60,$AA$66,$AA$72:$AA$79))*Parameters!$B$37/12</f>
        <v>19996.41024639293</v>
      </c>
      <c r="S81" s="46">
        <f>(SUM($AA$18:$AA$29)-SUM($AA$36,$AA$42,$AA$48,$AA$54,$AA$60,$AA$66,$AA$72:$AA$79))*Parameters!$B$37/12</f>
        <v>19996.41024639293</v>
      </c>
      <c r="T81" s="46">
        <f>(SUM($AA$18:$AA$29)-SUM($AA$36,$AA$42,$AA$48,$AA$54,$AA$60,$AA$66,$AA$72:$AA$79))*Parameters!$B$37/12</f>
        <v>19996.41024639293</v>
      </c>
      <c r="U81" s="46">
        <f>(SUM($AA$18:$AA$29)-SUM($AA$36,$AA$42,$AA$48,$AA$54,$AA$60,$AA$66,$AA$72:$AA$79))*Parameters!$B$37/12</f>
        <v>19996.41024639293</v>
      </c>
      <c r="V81" s="46">
        <f>(SUM($AA$18:$AA$29)-SUM($AA$36,$AA$42,$AA$48,$AA$54,$AA$60,$AA$66,$AA$72:$AA$79))*Parameters!$B$37/12</f>
        <v>19996.41024639293</v>
      </c>
      <c r="W81" s="46">
        <f>(SUM($AA$18:$AA$29)-SUM($AA$36,$AA$42,$AA$48,$AA$54,$AA$60,$AA$66,$AA$72:$AA$79))*Parameters!$B$37/12</f>
        <v>19996.41024639293</v>
      </c>
      <c r="X81" s="46">
        <f>(SUM($AA$18:$AA$29)-SUM($AA$36,$AA$42,$AA$48,$AA$54,$AA$60,$AA$66,$AA$72:$AA$79))*Parameters!$B$37/12</f>
        <v>19996.41024639293</v>
      </c>
      <c r="Y81" s="46">
        <f>(SUM($AA$18:$AA$29)-SUM($AA$36,$AA$42,$AA$48,$AA$54,$AA$60,$AA$66,$AA$72:$AA$79))*Parameters!$B$37/12</f>
        <v>19996.41024639293</v>
      </c>
      <c r="Z81" s="46">
        <f>SUMIF($B$13:$Y$13,"Yes",B81:Y81)</f>
        <v>279949.7434495011</v>
      </c>
      <c r="AA81" s="46">
        <f>SUM(B81:M81)</f>
        <v>239956.9229567152</v>
      </c>
      <c r="AB81" s="46">
        <f>SUM(B81:Y81)</f>
        <v>479913.8459134306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91426.13143833281</v>
      </c>
      <c r="C88" s="19">
        <f>SUM(C72:C82,C66,C60,C54,C48,C42,C36)</f>
        <v>26715.16024639293</v>
      </c>
      <c r="D88" s="19">
        <f>SUM(D72:D82,D66,D60,D54,D48,D42,D36)</f>
        <v>26715.16024639293</v>
      </c>
      <c r="E88" s="19">
        <f>SUM(E72:E82,E66,E60,E54,E48,E42,E36)</f>
        <v>26715.16024639293</v>
      </c>
      <c r="F88" s="19">
        <f>SUM(F72:F82,F66,F60,F54,F48,F42,F36)</f>
        <v>26715.16024639293</v>
      </c>
      <c r="G88" s="19">
        <f>SUM(G72:G82,G66,G60,G54,G48,G42,G36)</f>
        <v>26715.16024639293</v>
      </c>
      <c r="H88" s="19">
        <f>SUM(H72:H82,H66,H60,H54,H48,H42,H36)</f>
        <v>70773.73167496437</v>
      </c>
      <c r="I88" s="19">
        <f>SUM(I72:I82,I66,I60,I54,I48,I42,I36)</f>
        <v>47743.73167496437</v>
      </c>
      <c r="J88" s="19">
        <f>SUM(J72:J82,J66,J60,J54,J48,J42,J36)</f>
        <v>47743.73167496437</v>
      </c>
      <c r="K88" s="19">
        <f>SUM(K72:K82,K66,K60,K54,K48,K42,K36)</f>
        <v>50743.73167496437</v>
      </c>
      <c r="L88" s="19">
        <f>SUM(L72:L82,L66,L60,L54,L48,L42,L36)</f>
        <v>47743.73167496437</v>
      </c>
      <c r="M88" s="19">
        <f>SUM(M72:M82,M66,M60,M54,M48,M42,M36)</f>
        <v>47743.73167496437</v>
      </c>
      <c r="N88" s="19">
        <f>SUM(N72:N82,N66,N60,N54,N48,N42,N36)</f>
        <v>91426.13143833281</v>
      </c>
      <c r="O88" s="19">
        <f>SUM(O72:O82,O66,O60,O54,O48,O42,O36)</f>
        <v>26715.16024639293</v>
      </c>
      <c r="P88" s="19">
        <f>SUM(P72:P82,P66,P60,P54,P48,P42,P36)</f>
        <v>26715.16024639293</v>
      </c>
      <c r="Q88" s="19">
        <f>SUM(Q72:Q82,Q66,Q60,Q54,Q48,Q42,Q36)</f>
        <v>26715.16024639293</v>
      </c>
      <c r="R88" s="19">
        <f>SUM(R72:R82,R66,R60,R54,R48,R42,R36)</f>
        <v>26715.16024639293</v>
      </c>
      <c r="S88" s="19">
        <f>SUM(S72:S82,S66,S60,S54,S48,S42,S36)</f>
        <v>26715.16024639293</v>
      </c>
      <c r="T88" s="19">
        <f>SUM(T72:T82,T66,T60,T54,T48,T42,T36)</f>
        <v>70773.73167496437</v>
      </c>
      <c r="U88" s="19">
        <f>SUM(U72:U82,U66,U60,U54,U48,U42,U36)</f>
        <v>47743.73167496437</v>
      </c>
      <c r="V88" s="19">
        <f>SUM(V72:V82,V66,V60,V54,V48,V42,V36)</f>
        <v>47743.73167496437</v>
      </c>
      <c r="W88" s="19">
        <f>SUM(W72:W82,W66,W60,W54,W48,W42,W36)</f>
        <v>50743.73167496437</v>
      </c>
      <c r="X88" s="19">
        <f>SUM(X72:X82,X66,X60,X54,X48,X42,X36)</f>
        <v>47743.73167496437</v>
      </c>
      <c r="Y88" s="19">
        <f>SUM(Y72:Y82,Y66,Y60,Y54,Y48,Y42,Y36)</f>
        <v>47743.73167496437</v>
      </c>
      <c r="Z88" s="19">
        <f>SUMIF($B$13:$Y$13,"Yes",B88:Y88)</f>
        <v>655635.6144048094</v>
      </c>
      <c r="AA88" s="19">
        <f>SUM(B88:M88)</f>
        <v>537494.3227200836</v>
      </c>
      <c r="AB88" s="19">
        <f>SUM(B88:Y88)</f>
        <v>1074988.645440167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1000000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2000000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250000</v>
      </c>
    </row>
    <row r="101" spans="1:30" customHeight="1" ht="15.75">
      <c r="A101" s="1" t="s">
        <v>67</v>
      </c>
      <c r="B101" s="19">
        <f>SUM(B94:B100)</f>
        <v>4300000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20</v>
      </c>
      <c r="N7" s="153">
        <v>2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5</v>
      </c>
      <c r="D19" s="145">
        <v>5</v>
      </c>
      <c r="E19" s="20"/>
      <c r="F19" s="145" t="s">
        <v>92</v>
      </c>
      <c r="G19" s="20"/>
      <c r="H19" s="20"/>
      <c r="I19" s="145" t="s">
        <v>109</v>
      </c>
      <c r="J19" s="145">
        <v>30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10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500000</v>
      </c>
    </row>
    <row r="46" spans="1:48" customHeight="1" ht="30">
      <c r="A46" s="57" t="s">
        <v>130</v>
      </c>
      <c r="B46" s="161">
        <v>300000</v>
      </c>
    </row>
    <row r="47" spans="1:48" customHeight="1" ht="30">
      <c r="A47" s="57" t="s">
        <v>131</v>
      </c>
      <c r="B47" s="161">
        <v>200000</v>
      </c>
    </row>
    <row r="48" spans="1:48" customHeight="1" ht="30">
      <c r="A48" s="57" t="s">
        <v>132</v>
      </c>
      <c r="B48" s="161">
        <v>250000</v>
      </c>
    </row>
    <row r="49" spans="1:48" customHeight="1" ht="30">
      <c r="A49" s="57" t="s">
        <v>133</v>
      </c>
      <c r="B49" s="161">
        <v>50000</v>
      </c>
    </row>
    <row r="50" spans="1:48">
      <c r="A50" s="43"/>
      <c r="B50" s="36"/>
    </row>
    <row r="51" spans="1:48">
      <c r="A51" s="58" t="s">
        <v>134</v>
      </c>
      <c r="B51" s="161">
        <v>50000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10000</v>
      </c>
      <c r="B56" s="159">
        <v>0</v>
      </c>
      <c r="C56" s="162" t="s">
        <v>142</v>
      </c>
      <c r="D56" s="163" t="s">
        <v>143</v>
      </c>
      <c r="E56" s="163" t="s">
        <v>92</v>
      </c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145</v>
      </c>
      <c r="C65" s="10" t="s">
        <v>146</v>
      </c>
    </row>
    <row r="66" spans="1:48">
      <c r="A66" s="142" t="s">
        <v>94</v>
      </c>
      <c r="B66" s="159">
        <v>156899</v>
      </c>
      <c r="C66" s="163">
        <v>140653</v>
      </c>
      <c r="D66" s="49">
        <f>INDEX(Parameters!$D$79:$D$90,MATCH(Inputs!A66,Parameters!$C$79:$C$90,0))</f>
        <v>8</v>
      </c>
    </row>
    <row r="67" spans="1:48">
      <c r="A67" s="143" t="s">
        <v>147</v>
      </c>
      <c r="B67" s="157">
        <v>167908</v>
      </c>
      <c r="C67" s="165">
        <v>147899</v>
      </c>
      <c r="D67" s="49">
        <f>INDEX(Parameters!$D$79:$D$90,MATCH(Inputs!A67,Parameters!$C$79:$C$90,0))</f>
        <v>9</v>
      </c>
    </row>
    <row r="68" spans="1:48">
      <c r="A68" s="143" t="s">
        <v>148</v>
      </c>
      <c r="B68" s="157">
        <v>136709</v>
      </c>
      <c r="C68" s="165">
        <v>125897</v>
      </c>
      <c r="D68" s="49">
        <f>INDEX(Parameters!$D$79:$D$90,MATCH(Inputs!A68,Parameters!$C$79:$C$90,0))</f>
        <v>10</v>
      </c>
    </row>
    <row r="69" spans="1:48">
      <c r="A69" s="143" t="s">
        <v>149</v>
      </c>
      <c r="B69" s="157">
        <v>190765</v>
      </c>
      <c r="C69" s="165">
        <v>178633</v>
      </c>
      <c r="D69" s="49">
        <f>INDEX(Parameters!$D$79:$D$90,MATCH(Inputs!A69,Parameters!$C$79:$C$90,0))</f>
        <v>11</v>
      </c>
    </row>
    <row r="70" spans="1:48">
      <c r="A70" s="143" t="s">
        <v>150</v>
      </c>
      <c r="B70" s="157">
        <v>187544</v>
      </c>
      <c r="C70" s="165">
        <v>169865</v>
      </c>
      <c r="D70" s="49">
        <f>INDEX(Parameters!$D$79:$D$90,MATCH(Inputs!A70,Parameters!$C$79:$C$90,0))</f>
        <v>12</v>
      </c>
    </row>
    <row r="71" spans="1:48">
      <c r="A71" s="144" t="s">
        <v>151</v>
      </c>
      <c r="B71" s="158">
        <v>178655</v>
      </c>
      <c r="C71" s="167">
        <v>166546</v>
      </c>
      <c r="D71" s="49">
        <f>INDEX(Parameters!$D$79:$D$90,MATCH(Inputs!A71,Parameters!$C$79:$C$90,0))</f>
        <v>1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19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250000</v>
      </c>
    </row>
    <row r="82" spans="1:48">
      <c r="A82" t="s">
        <v>162</v>
      </c>
      <c r="B82" s="161">
        <v>20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43313</v>
      </c>
      <c r="C4" s="38">
        <f>IFERROR(DATE(YEAR(B4),MONTH(B4)+ROUND(T4/2,0),DAY(B4)),B4)</f>
        <v>43405</v>
      </c>
      <c r="D4" s="38">
        <f>IFERROR(DATE(YEAR(B4),MONTH(B4)+T4,DAY(B4)),"")</f>
        <v>43497</v>
      </c>
      <c r="E4" s="38">
        <f>IFERROR(IF($S4=0,"",IF($S4=2,DATE(YEAR(B4),MONTH(B4)+6,DAY(B4)),IF($S4=1,B4,""))),"")</f>
        <v>43313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43497</v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1899.234772320367</v>
      </c>
      <c r="M4" s="25">
        <f>L4*H4</f>
        <v>9496.173861601836</v>
      </c>
      <c r="N4" s="22">
        <f>Calculations!U4</f>
        <v>0.2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159535.7208749109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0.2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1515</v>
      </c>
      <c r="W4" s="33">
        <f>IFERROR(J4*H4*Parameters!$B$35+IF(OR(Inputs!F7=Parameters!$E$78,Inputs!F7=Parameters!$E$80),Calculations!H4*Parameters!$B$36,0),0)</f>
        <v>10000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1500</v>
      </c>
      <c r="Z4" s="33">
        <f>IF(Inputs!I7=Parameters!$F$78,H4*INDEX(Parameters!$A$3:$AI$18,MATCH(Calculations!A4,Parameters!$A$3:$A$18,0),MATCH(Parameters!$Q$3,Parameters!$A$3:$AI$3,0)),0)</f>
        <v>25000</v>
      </c>
      <c r="AA4" s="33">
        <f>IFERROR(IF(Inputs!N7&gt;0,INDEX(Parameters!$A$3:$AI$17,MATCH(Calculations!A4,Parameters!$A$3:$A$17,0),MATCH(Parameters!$R$3,Parameters!$A$3:$AI$3,0)),0)*M4/S4,0)</f>
        <v>21841.19988168422</v>
      </c>
      <c r="AB4" s="33">
        <f>H4*IFERROR(INDEX(Parameters!$A$3:$AI$17,MATCH(Calculations!A4,Parameters!$A$3:$A$17,0),MATCH(Parameters!$O$3,Parameters!$A$3:$AI$3,0)),AVERAGE(Parameters!$O$4:$O$17))*(1-Inputs!$B$25/100)</f>
        <v>54000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5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0.3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705986.8421052631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>10000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Molo</v>
      </c>
    </row>
    <row r="33" spans="1:52">
      <c r="A33">
        <v>1</v>
      </c>
      <c r="B33" s="128">
        <f>G34</f>
        <v>43199</v>
      </c>
      <c r="C33" s="27">
        <f>IF(B33&lt;&gt;"",IF(COUNT($A$33:A33)&lt;=$G$39,0,$G$41)+IF(COUNT($A$33:A33)&lt;=$G$40,0,$G$42),0)</f>
        <v>25000</v>
      </c>
      <c r="D33" s="170">
        <f>IFERROR(DATE(YEAR(B33),MONTH(B33),1)," ")</f>
        <v>43191</v>
      </c>
      <c r="F33" t="s">
        <v>157</v>
      </c>
      <c r="G33" s="128">
        <f>IF(Inputs!B79="","",DATE(YEAR(Inputs!B79),MONTH(Inputs!B79),DAY(Inputs!B79)))</f>
        <v>43159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43229</v>
      </c>
      <c r="C34" s="27">
        <f>IF(B34&lt;&gt;"",IF(COUNT($A$33:A34)&lt;=$G$39,0,$G$41)+IF(COUNT($A$33:A34)&lt;=$G$40,0,$G$42),0)</f>
        <v>25000</v>
      </c>
      <c r="D34" s="170">
        <f>IFERROR(DATE(YEAR(B34),MONTH(B34),1)," ")</f>
        <v>43221</v>
      </c>
      <c r="F34" t="s">
        <v>159</v>
      </c>
      <c r="G34" s="128">
        <f>IF(Inputs!B80="","",DATE(YEAR(Inputs!B80),MONTH(Inputs!B80),DAY(Inputs!B80)))</f>
        <v>43199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43260</v>
      </c>
      <c r="C35" s="27">
        <f>IF(B35&lt;&gt;"",IF(COUNT($A$33:A35)&lt;=$G$39,0,$G$41)+IF(COUNT($A$33:A35)&lt;=$G$40,0,$G$42),0)</f>
        <v>25000</v>
      </c>
      <c r="D35" s="170">
        <f>IFERROR(DATE(YEAR(B35),MONTH(B35),1)," ")</f>
        <v>43252</v>
      </c>
      <c r="F35" t="s">
        <v>161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43290</v>
      </c>
      <c r="C36" s="27">
        <f>IF(B36&lt;&gt;"",IF(COUNT($A$33:A36)&lt;=$G$39,0,$G$41)+IF(COUNT($A$33:A36)&lt;=$G$40,0,$G$42),0)</f>
        <v>25000</v>
      </c>
      <c r="D36" s="170">
        <f>IFERROR(DATE(YEAR(B36),MONTH(B36),1)," ")</f>
        <v>43282</v>
      </c>
      <c r="F36" t="s">
        <v>162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43321</v>
      </c>
      <c r="C37" s="27">
        <f>IF(B37&lt;&gt;"",IF(COUNT($A$33:A37)&lt;=$G$39,0,$G$41)+IF(COUNT($A$33:A37)&lt;=$G$40,0,$G$42),0)</f>
        <v>25000</v>
      </c>
      <c r="D37" s="170">
        <f>IFERROR(DATE(YEAR(B37),MONTH(B37),1)," ")</f>
        <v>43313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43352</v>
      </c>
      <c r="C38" s="27">
        <f>IF(B38&lt;&gt;"",IF(COUNT($A$33:A38)&lt;=$G$39,0,$G$41)+IF(COUNT($A$33:A38)&lt;=$G$40,0,$G$42),0)</f>
        <v>25000</v>
      </c>
      <c r="D38" s="170">
        <f>IFERROR(DATE(YEAR(B38),MONTH(B38),1)," ")</f>
        <v>43344</v>
      </c>
      <c r="F38" t="s">
        <v>224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43382</v>
      </c>
      <c r="C39" s="27">
        <f>IF(B39&lt;&gt;"",IF(COUNT($A$33:A39)&lt;=$G$39,0,$G$41)+IF(COUNT($A$33:A39)&lt;=$G$40,0,$G$42),0)</f>
        <v>25000</v>
      </c>
      <c r="D39" s="170">
        <f>IFERROR(DATE(YEAR(B39),MONTH(B39),1)," ")</f>
        <v>43374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43413</v>
      </c>
      <c r="C40" s="27">
        <f>IF(B40&lt;&gt;"",IF(COUNT($A$33:A40)&lt;=$G$39,0,$G$41)+IF(COUNT($A$33:A40)&lt;=$G$40,0,$G$42),0)</f>
        <v>25000</v>
      </c>
      <c r="D40" s="170">
        <f>IFERROR(DATE(YEAR(B40),MONTH(B40),1)," ")</f>
        <v>43405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43443</v>
      </c>
      <c r="C41" s="27">
        <f>IF(B41&lt;&gt;"",IF(COUNT($A$33:A41)&lt;=$G$39,0,$G$41)+IF(COUNT($A$33:A41)&lt;=$G$40,0,$G$42),0)</f>
        <v>25000</v>
      </c>
      <c r="D41" s="170">
        <f>IFERROR(DATE(YEAR(B41),MONTH(B41),1)," ")</f>
        <v>43435</v>
      </c>
      <c r="F41" t="s">
        <v>225</v>
      </c>
      <c r="G41" s="73">
        <f>IFERROR(G35/(G38-G39),"")</f>
        <v>20833.33333333333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43474</v>
      </c>
      <c r="C42" s="27">
        <f>IF(B42&lt;&gt;"",IF(COUNT($A$33:A42)&lt;=$G$39,0,$G$41)+IF(COUNT($A$33:A42)&lt;=$G$40,0,$G$42),0)</f>
        <v>25000</v>
      </c>
      <c r="D42" s="170">
        <f>IFERROR(DATE(YEAR(B42),MONTH(B42),1)," ")</f>
        <v>43466</v>
      </c>
      <c r="F42" t="s">
        <v>226</v>
      </c>
      <c r="G42" s="73">
        <f>IFERROR(G35*G36*IF(G37="Monthly",G38/12,IF(G37="Fortnightly",G38/(365/14),G38/(365/28)))/(G38-G40),"")</f>
        <v>4166.666666666667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43505</v>
      </c>
      <c r="C43" s="27">
        <f>IF(B43&lt;&gt;"",IF(COUNT($A$33:A43)&lt;=$G$39,0,$G$41)+IF(COUNT($A$33:A43)&lt;=$G$40,0,$G$42),0)</f>
        <v>25000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43533</v>
      </c>
      <c r="C44" s="27">
        <f>IF(B44&lt;&gt;"",IF(COUNT($A$33:A44)&lt;=$G$39,0,$G$41)+IF(COUNT($A$33:A44)&lt;=$G$40,0,$G$42),0)</f>
        <v>25000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199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295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295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295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295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96</v>
      </c>
      <c r="B41" s="191" t="s">
        <v>311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313</v>
      </c>
      <c r="H52" s="12" t="s">
        <v>127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227</v>
      </c>
      <c r="E53" s="10" t="s">
        <v>186</v>
      </c>
      <c r="F53" s="10" t="s">
        <v>246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311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311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311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311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311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311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311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164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223</v>
      </c>
      <c r="J76" s="11" t="s">
        <v>347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311</v>
      </c>
      <c r="F77" s="12" t="s">
        <v>311</v>
      </c>
      <c r="G77" s="12" t="s">
        <v>349</v>
      </c>
      <c r="H77" s="12" t="s">
        <v>127</v>
      </c>
      <c r="I77" s="12" t="s">
        <v>350</v>
      </c>
      <c r="J77" s="136" t="s">
        <v>351</v>
      </c>
      <c r="K77" s="12" t="s">
        <v>311</v>
      </c>
      <c r="AJ77" s="12"/>
    </row>
    <row r="78" spans="1:36">
      <c r="A78" t="s">
        <v>311</v>
      </c>
      <c r="B78" s="176">
        <v>5</v>
      </c>
      <c r="C78" s="134" t="s">
        <v>352</v>
      </c>
      <c r="D78" s="133"/>
      <c r="E78" s="12" t="s">
        <v>353</v>
      </c>
      <c r="F78" s="12" t="s">
        <v>93</v>
      </c>
      <c r="G78" s="12" t="s">
        <v>109</v>
      </c>
      <c r="H78" s="12" t="s">
        <v>314</v>
      </c>
      <c r="I78" s="12" t="s">
        <v>354</v>
      </c>
      <c r="J78" s="70" t="s">
        <v>355</v>
      </c>
      <c r="K78" s="12" t="s">
        <v>311</v>
      </c>
      <c r="AJ78" s="12"/>
    </row>
    <row r="79" spans="1:36">
      <c r="B79" s="176">
        <v>10</v>
      </c>
      <c r="C79" s="12" t="s">
        <v>151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164</v>
      </c>
      <c r="J79" s="70" t="s">
        <v>359</v>
      </c>
      <c r="K79" s="12" t="s">
        <v>311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91</v>
      </c>
      <c r="F80" s="12" t="s">
        <v>361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94</v>
      </c>
      <c r="D86" s="12">
        <f>D85+1</f>
        <v>8</v>
      </c>
    </row>
    <row r="87" spans="1:36">
      <c r="B87" s="176">
        <v>89.99999999999999</v>
      </c>
      <c r="C87" s="12" t="s">
        <v>147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