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<sst xmlns="http://schemas.openxmlformats.org/spreadsheetml/2006/main" uniqueCount="367">
  <si>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</si>
  <si>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</si>
  <si>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</si>
  <si>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</si>
  <si>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</si>
  <si>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</si>
  <si>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</si>
  <si>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</si>
  <si>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</si>
  <si>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</si>
  <si>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</si>
  <si>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</si>
  <si>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</si>
  <si>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</si>
  <si>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</si>
  <si>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</si>
  <si>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</si>
  <si>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</si>
  <si>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</si>
  <si>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</si>
  <si>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</si>
  <si>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</si>
  <si>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</si>
  <si>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</si>
  <si>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</si>
  <si>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</si>
  <si>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</si>
  <si>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</si>
  <si>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</si>
  <si>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</si>
  <si>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</si>
  <si>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</si>
  <si>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</si>
  <si>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</si>
  <si>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</si>
  <si>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</si>
  <si>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</si>
  <si>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</si>
  <si>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</si>
  <si>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</si>
  <si>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</si>
  <si>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</si>
  <si>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</si>
  <si>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</si>
  <si>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</si>
  <si>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</si>
  <si>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</si>
  <si>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</si>
  <si>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</si>
  <si>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</si>
  <si>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</si>
  <si>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</si>
  <si>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</si>
  <si>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</si>
  <si>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</si>
  <si>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</si>
  <si>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</si>
  <si>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</si>
  <si>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</si>
  <si>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</si>
  <si>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</si>
  <si>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</si>
  <si>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</si>
  <si>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</si>
  <si>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</si>
  <si>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</si>
  <si>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</si>
  <si>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</si>
  <si>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</si>
  <si>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</si>
  <si>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</si>
  <si>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</si>
  <si>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</si>
  <si>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</si>
  <si>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</si>
  <si>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</si>
  <si>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</si>
  <si>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</si>
  <si>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</si>
  <si>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</si>
  <si>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</si>
  <si>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</si>
  <si>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</si>
  <si>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</si>
  <si>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</si>
  <si>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</si>
  <si>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</si>
  <si>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</si>
  <si>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</si>
  <si>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</si>
  <si>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</si>
  <si>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</si>
  <si>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</si>
  <si>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</si>
  <si>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</si>
  <si>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</si>
  <si>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</si>
  <si>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</si>
  <si>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</si>
  <si>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</si>
  <si>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</si>
  <si>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</si>
  <si>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</si>
  <si>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</si>
  <si>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</si>
  <si>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</si>
  <si>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</si>
  <si>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</si>
  <si>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</si>
  <si>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</si>
  <si>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</si>
  <si>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</si>
  <si>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</si>
  <si>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</si>
  <si>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</si>
  <si>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</si>
  <si>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</si>
  <si>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</si>
  <si>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</si>
  <si>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</si>
  <si>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</si>
  <si>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</si>
  <si>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Yes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</si>
  <si>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</si>
  <si>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</si>
  <si>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</si>
  <si>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</si>
  <si>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</si>
  <si>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</si>
  <si>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</si>
  <si>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</si>
  <si>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</si>
  <si>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</si>
  <si>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</si>
  <si>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</si>
  <si>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</si>
  <si>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7/11/2016</t>
  </si>
  <si>
    <t>Equity</t>
  </si>
  <si>
    <t>well service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</si>
  <si>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</si>
  <si>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</si>
  <si>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</si>
  <si>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</si>
  <si>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</si>
  <si>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</si>
  <si>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</si>
  <si>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</si>
  <si>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</si>
  <si>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</si>
  <si>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</si>
  <si>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2018/2/28</t>
  </si>
  <si>
    <t>Loan terms</t>
  </si>
  <si>
    <t>Expected disbursement date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</si>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</sst>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2019</v>
      </c>
    </row>
    <row r="13" spans="1:7">
      <c r="B13" s="1" t="s">
        <v>8</v>
      </c>
      <c r="C13" s="67">
        <f>IFERROR(Output!B107/Output!B101,"")</f>
        <v>0.3652817910447761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28888.88888888889</v>
      </c>
    </row>
    <row r="17" spans="1:7">
      <c r="B17" s="1" t="s">
        <v>11</v>
      </c>
      <c r="C17" s="36">
        <f>SUM(Output!B6:M6)</f>
        <v>-1263694</v>
      </c>
    </row>
    <row r="18" spans="1:7">
      <c r="B18" s="1" t="s">
        <v>12</v>
      </c>
      <c r="C18" s="36">
        <f>MIN(Output!B6:M6)</f>
        <v>-110493.4030683403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-48266.56624825663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2000000</v>
      </c>
    </row>
    <row r="25" spans="1:7">
      <c r="B25" s="1" t="s">
        <v>18</v>
      </c>
      <c r="C25" s="36">
        <f>MAX(Inputs!A56:A60)</f>
        <v>2000000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1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-110493.4030683403</v>
      </c>
      <c r="C6" s="51">
        <f>C30-C88</f>
        <v>-110493.4030683403</v>
      </c>
      <c r="D6" s="51">
        <f>D30-D88</f>
        <v>-110493.4030683403</v>
      </c>
      <c r="E6" s="51">
        <f>E30-E88</f>
        <v>-110493.4030683403</v>
      </c>
      <c r="F6" s="51">
        <f>F30-F88</f>
        <v>-110493.4030683403</v>
      </c>
      <c r="G6" s="51">
        <f>G30-G88</f>
        <v>-110493.4030683403</v>
      </c>
      <c r="H6" s="51">
        <f>H30-H88</f>
        <v>-110493.4030683403</v>
      </c>
      <c r="I6" s="51">
        <f>I30-I88</f>
        <v>-110493.4030683403</v>
      </c>
      <c r="J6" s="51">
        <f>J30-J88</f>
        <v>-110493.4030683403</v>
      </c>
      <c r="K6" s="51">
        <f>K30-K88</f>
        <v>-110493.4030683403</v>
      </c>
      <c r="L6" s="51">
        <f>L30-L88</f>
        <v>-110493.4030683403</v>
      </c>
      <c r="M6" s="51">
        <f>M30-M88</f>
        <v>-48266.56624825663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-1263694</v>
      </c>
      <c r="AA6" s="51">
        <f>AA30-AA88</f>
        <v>-1263694</v>
      </c>
      <c r="AB6" s="51">
        <f>AB30-AB88</f>
        <v>-1263694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132230</v>
      </c>
      <c r="I7" s="80">
        <f>IF(ISERROR(VLOOKUP(MONTH(I5),Inputs!$D$66:$D$71,1,0)),"",INDEX(Inputs!$B$66:$B$71,MATCH(MONTH(Output!I5),Inputs!$D$66:$D$71,0))-INDEX(Inputs!$C$66:$C$71,MATCH(MONTH(Output!I5),Inputs!$D$66:$D$71,0)))</f>
        <v>234</v>
      </c>
      <c r="J7" s="80">
        <f>IF(ISERROR(VLOOKUP(MONTH(J5),Inputs!$D$66:$D$71,1,0)),"",INDEX(Inputs!$B$66:$B$71,MATCH(MONTH(Output!J5),Inputs!$D$66:$D$71,0))-INDEX(Inputs!$C$66:$C$71,MATCH(MONTH(Output!J5),Inputs!$D$66:$D$71,0)))</f>
        <v>144912</v>
      </c>
      <c r="K7" s="80">
        <f>IF(ISERROR(VLOOKUP(MONTH(K5),Inputs!$D$66:$D$71,1,0)),"",INDEX(Inputs!$B$66:$B$71,MATCH(MONTH(Output!K5),Inputs!$D$66:$D$71,0))-INDEX(Inputs!$C$66:$C$71,MATCH(MONTH(Output!K5),Inputs!$D$66:$D$71,0)))</f>
        <v>56420</v>
      </c>
      <c r="L7" s="80">
        <f>IF(ISERROR(VLOOKUP(MONTH(L5),Inputs!$D$66:$D$71,1,0)),"",INDEX(Inputs!$B$66:$B$71,MATCH(MONTH(Output!L5),Inputs!$D$66:$D$71,0))-INDEX(Inputs!$C$66:$C$71,MATCH(MONTH(Output!L5),Inputs!$D$66:$D$71,0)))</f>
        <v>74300</v>
      </c>
      <c r="M7" s="80">
        <f>IF(ISERROR(VLOOKUP(MONTH(M5),Inputs!$D$66:$D$71,1,0)),"",INDEX(Inputs!$B$66:$B$71,MATCH(MONTH(Output!M5),Inputs!$D$66:$D$71,0))-INDEX(Inputs!$C$66:$C$71,MATCH(MONTH(Output!M5),Inputs!$D$66:$D$71,0)))</f>
        <v>65000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132230</v>
      </c>
      <c r="U7" s="80">
        <f>IF(ISERROR(VLOOKUP(MONTH(U5),Inputs!$D$66:$D$71,1,0)),"",INDEX(Inputs!$B$66:$B$71,MATCH(MONTH(Output!U5),Inputs!$D$66:$D$71,0))-INDEX(Inputs!$C$66:$C$71,MATCH(MONTH(Output!U5),Inputs!$D$66:$D$71,0)))</f>
        <v>234</v>
      </c>
      <c r="V7" s="80">
        <f>IF(ISERROR(VLOOKUP(MONTH(V5),Inputs!$D$66:$D$71,1,0)),"",INDEX(Inputs!$B$66:$B$71,MATCH(MONTH(Output!V5),Inputs!$D$66:$D$71,0))-INDEX(Inputs!$C$66:$C$71,MATCH(MONTH(Output!V5),Inputs!$D$66:$D$71,0)))</f>
        <v>144912</v>
      </c>
      <c r="W7" s="80">
        <f>IF(ISERROR(VLOOKUP(MONTH(W5),Inputs!$D$66:$D$71,1,0)),"",INDEX(Inputs!$B$66:$B$71,MATCH(MONTH(Output!W5),Inputs!$D$66:$D$71,0))-INDEX(Inputs!$C$66:$C$71,MATCH(MONTH(Output!W5),Inputs!$D$66:$D$71,0)))</f>
        <v>56420</v>
      </c>
      <c r="X7" s="80">
        <f>IF(ISERROR(VLOOKUP(MONTH(X5),Inputs!$D$66:$D$71,1,0)),"",INDEX(Inputs!$B$66:$B$71,MATCH(MONTH(Output!X5),Inputs!$D$66:$D$71,0))-INDEX(Inputs!$C$66:$C$71,MATCH(MONTH(Output!X5),Inputs!$D$66:$D$71,0)))</f>
        <v>74300</v>
      </c>
      <c r="Y7" s="80">
        <f>IF(ISERROR(VLOOKUP(MONTH(Y5),Inputs!$D$66:$D$71,1,0)),"",INDEX(Inputs!$B$66:$B$71,MATCH(MONTH(Output!Y5),Inputs!$D$66:$D$71,0))-INDEX(Inputs!$C$66:$C$71,MATCH(MONTH(Output!Y5),Inputs!$D$66:$D$71,0)))</f>
        <v>65000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28888.88888888889</v>
      </c>
      <c r="E10" s="37">
        <f>SUMPRODUCT((Calculations!$D$33:$D$84=Output!E5)+0,Calculations!$C$33:$C$84)</f>
        <v>28888.88888888889</v>
      </c>
      <c r="F10" s="37">
        <f>SUMPRODUCT((Calculations!$D$33:$D$84=Output!F5)+0,Calculations!$C$33:$C$84)</f>
        <v>28888.88888888889</v>
      </c>
      <c r="G10" s="37">
        <f>SUMPRODUCT((Calculations!$D$33:$D$84=Output!G5)+0,Calculations!$C$33:$C$84)</f>
        <v>28888.88888888889</v>
      </c>
      <c r="H10" s="37">
        <f>SUMPRODUCT((Calculations!$D$33:$D$84=Output!H5)+0,Calculations!$C$33:$C$84)</f>
        <v>28888.88888888889</v>
      </c>
      <c r="I10" s="37">
        <f>SUMPRODUCT((Calculations!$D$33:$D$84=Output!I5)+0,Calculations!$C$33:$C$84)</f>
        <v>28888.88888888889</v>
      </c>
      <c r="J10" s="37">
        <f>SUMPRODUCT((Calculations!$D$33:$D$84=Output!J5)+0,Calculations!$C$33:$C$84)</f>
        <v>28888.88888888889</v>
      </c>
      <c r="K10" s="37">
        <f>SUMPRODUCT((Calculations!$D$33:$D$84=Output!K5)+0,Calculations!$C$33:$C$84)</f>
        <v>28888.88888888889</v>
      </c>
      <c r="L10" s="37">
        <f>SUMPRODUCT((Calculations!$D$33:$D$84=Output!L5)+0,Calculations!$C$33:$C$84)</f>
        <v>28888.88888888889</v>
      </c>
      <c r="M10" s="37">
        <f>SUMPRODUCT((Calculations!$D$33:$D$84=Output!M5)+0,Calculations!$C$33:$C$84)</f>
        <v>28888.88888888889</v>
      </c>
      <c r="N10" s="37">
        <f>SUMPRODUCT((Calculations!$D$33:$D$84=Output!N5)+0,Calculations!$C$33:$C$84)</f>
        <v>28888.88888888889</v>
      </c>
      <c r="O10" s="37">
        <f>SUMPRODUCT((Calculations!$D$33:$D$84=Output!O5)+0,Calculations!$C$33:$C$84)</f>
        <v>28888.88888888889</v>
      </c>
      <c r="P10" s="37">
        <f>SUMPRODUCT((Calculations!$D$33:$D$84=Output!P5)+0,Calculations!$C$33:$C$84)</f>
        <v>28888.88888888889</v>
      </c>
      <c r="Q10" s="37">
        <f>SUMPRODUCT((Calculations!$D$33:$D$84=Output!Q5)+0,Calculations!$C$33:$C$84)</f>
        <v>28888.88888888889</v>
      </c>
      <c r="R10" s="37">
        <f>SUMPRODUCT((Calculations!$D$33:$D$84=Output!R5)+0,Calculations!$C$33:$C$84)</f>
        <v>28888.88888888889</v>
      </c>
      <c r="S10" s="37">
        <f>SUMPRODUCT((Calculations!$D$33:$D$84=Output!S5)+0,Calculations!$C$33:$C$84)</f>
        <v>28888.88888888889</v>
      </c>
      <c r="T10" s="37">
        <f>SUMPRODUCT((Calculations!$D$33:$D$84=Output!T5)+0,Calculations!$C$33:$C$84)</f>
        <v>28888.88888888889</v>
      </c>
      <c r="U10" s="37">
        <f>SUMPRODUCT((Calculations!$D$33:$D$84=Output!U5)+0,Calculations!$C$33:$C$84)</f>
        <v>28888.88888888889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519999.9999999998</v>
      </c>
      <c r="AA10" s="37">
        <f>SUM(B10:M10)</f>
        <v>288888.8888888888</v>
      </c>
      <c r="AB10" s="37">
        <f>SUM(B10:Y10)</f>
        <v>519999.9999999998</v>
      </c>
    </row>
    <row r="11" spans="1:30" customHeight="1" ht="15.75">
      <c r="A11" s="43" t="s">
        <v>31</v>
      </c>
      <c r="B11" s="80">
        <f>B6+B9-B10</f>
        <v>289506.5969316597</v>
      </c>
      <c r="C11" s="80">
        <f>C6+C9-C10</f>
        <v>-110493.4030683403</v>
      </c>
      <c r="D11" s="80">
        <f>D6+D9-D10</f>
        <v>-139382.2919572292</v>
      </c>
      <c r="E11" s="80">
        <f>E6+E9-E10</f>
        <v>-139382.2919572292</v>
      </c>
      <c r="F11" s="80">
        <f>F6+F9-F10</f>
        <v>-139382.2919572292</v>
      </c>
      <c r="G11" s="80">
        <f>G6+G9-G10</f>
        <v>-139382.2919572292</v>
      </c>
      <c r="H11" s="80">
        <f>H6+H9-H10</f>
        <v>-139382.2919572292</v>
      </c>
      <c r="I11" s="80">
        <f>I6+I9-I10</f>
        <v>-139382.2919572292</v>
      </c>
      <c r="J11" s="80">
        <f>J6+J9-J10</f>
        <v>-139382.2919572292</v>
      </c>
      <c r="K11" s="80">
        <f>K6+K9-K10</f>
        <v>-139382.2919572292</v>
      </c>
      <c r="L11" s="80">
        <f>L6+L9-L10</f>
        <v>-139382.2919572292</v>
      </c>
      <c r="M11" s="80">
        <f>M6+M9-M10</f>
        <v>-77155.45513714553</v>
      </c>
      <c r="N11" s="80">
        <f>N6+N9-N10</f>
        <v>-28888.88888888889</v>
      </c>
      <c r="O11" s="80">
        <f>O6+O9-O10</f>
        <v>-28888.88888888889</v>
      </c>
      <c r="P11" s="80">
        <f>P6+P9-P10</f>
        <v>-28888.88888888889</v>
      </c>
      <c r="Q11" s="80">
        <f>Q6+Q9-Q10</f>
        <v>-28888.88888888889</v>
      </c>
      <c r="R11" s="80">
        <f>R6+R9-R10</f>
        <v>-28888.88888888889</v>
      </c>
      <c r="S11" s="80">
        <f>S6+S9-S10</f>
        <v>-28888.88888888889</v>
      </c>
      <c r="T11" s="80">
        <f>T6+T9-T10</f>
        <v>-28888.88888888889</v>
      </c>
      <c r="U11" s="80">
        <f>U6+U9-U10</f>
        <v>-28888.88888888889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-1383694.000000001</v>
      </c>
      <c r="AA11" s="80">
        <f>SUM(B11:M11)</f>
        <v>-1152582.888888889</v>
      </c>
      <c r="AB11" s="46">
        <f>SUM(B11:Y11)</f>
        <v>-1383694.000000001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0.4216137929452899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110493.4030683403</v>
      </c>
      <c r="C82" s="46">
        <f>SUM(C83:C87)</f>
        <v>110493.4030683403</v>
      </c>
      <c r="D82" s="46">
        <f>SUM(D83:D87)</f>
        <v>110493.4030683403</v>
      </c>
      <c r="E82" s="46">
        <f>SUM(E83:E87)</f>
        <v>110493.4030683403</v>
      </c>
      <c r="F82" s="46">
        <f>SUM(F83:F87)</f>
        <v>110493.4030683403</v>
      </c>
      <c r="G82" s="46">
        <f>SUM(G83:G87)</f>
        <v>110493.4030683403</v>
      </c>
      <c r="H82" s="46">
        <f>SUM(H83:H87)</f>
        <v>110493.4030683403</v>
      </c>
      <c r="I82" s="46">
        <f>SUM(I83:I87)</f>
        <v>110493.4030683403</v>
      </c>
      <c r="J82" s="46">
        <f>SUM(J83:J87)</f>
        <v>110493.4030683403</v>
      </c>
      <c r="K82" s="46">
        <f>SUM(K83:K87)</f>
        <v>110493.4030683403</v>
      </c>
      <c r="L82" s="46">
        <f>SUM(L83:L87)</f>
        <v>110493.4030683403</v>
      </c>
      <c r="M82" s="46">
        <f>SUM(M83:M87)</f>
        <v>48266.56624825663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1263694</v>
      </c>
      <c r="AA82" s="46">
        <f>SUM(B82:M82)</f>
        <v>1263694</v>
      </c>
      <c r="AB82" s="46">
        <f>SUM(B82:Y82)</f>
        <v>1263694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110493.4030683403</v>
      </c>
      <c r="C83" s="46">
        <f>IF(Calculations!$E23&gt;COUNT(Output!$B$35:C$35),Calculations!$B23,IF(Calculations!$E23=COUNT(Output!$B$35:C$35),Inputs!$B56-Calculations!$C23*(Calculations!$E23-1)+Calculations!$D23,0))</f>
        <v>110493.4030683403</v>
      </c>
      <c r="D83" s="46">
        <f>IF(Calculations!$E23&gt;COUNT(Output!$B$35:D$35),Calculations!$B23,IF(Calculations!$E23=COUNT(Output!$B$35:D$35),Inputs!$B56-Calculations!$C23*(Calculations!$E23-1)+Calculations!$D23,0))</f>
        <v>110493.4030683403</v>
      </c>
      <c r="E83" s="46">
        <f>IF(Calculations!$E23&gt;COUNT(Output!$B$35:E$35),Calculations!$B23,IF(Calculations!$E23=COUNT(Output!$B$35:E$35),Inputs!$B56-Calculations!$C23*(Calculations!$E23-1)+Calculations!$D23,0))</f>
        <v>110493.4030683403</v>
      </c>
      <c r="F83" s="46">
        <f>IF(Calculations!$E23&gt;COUNT(Output!$B$35:F$35),Calculations!$B23,IF(Calculations!$E23=COUNT(Output!$B$35:F$35),Inputs!$B56-Calculations!$C23*(Calculations!$E23-1)+Calculations!$D23,0))</f>
        <v>110493.4030683403</v>
      </c>
      <c r="G83" s="46">
        <f>IF(Calculations!$E23&gt;COUNT(Output!$B$35:G$35),Calculations!$B23,IF(Calculations!$E23=COUNT(Output!$B$35:G$35),Inputs!$B56-Calculations!$C23*(Calculations!$E23-1)+Calculations!$D23,0))</f>
        <v>110493.4030683403</v>
      </c>
      <c r="H83" s="46">
        <f>IF(Calculations!$E23&gt;COUNT(Output!$B$35:H$35),Calculations!$B23,IF(Calculations!$E23=COUNT(Output!$B$35:H$35),Inputs!$B56-Calculations!$C23*(Calculations!$E23-1)+Calculations!$D23,0))</f>
        <v>110493.4030683403</v>
      </c>
      <c r="I83" s="46">
        <f>IF(Calculations!$E23&gt;COUNT(Output!$B$35:I$35),Calculations!$B23,IF(Calculations!$E23=COUNT(Output!$B$35:I$35),Inputs!$B56-Calculations!$C23*(Calculations!$E23-1)+Calculations!$D23,0))</f>
        <v>110493.4030683403</v>
      </c>
      <c r="J83" s="46">
        <f>IF(Calculations!$E23&gt;COUNT(Output!$B$35:J$35),Calculations!$B23,IF(Calculations!$E23=COUNT(Output!$B$35:J$35),Inputs!$B56-Calculations!$C23*(Calculations!$E23-1)+Calculations!$D23,0))</f>
        <v>110493.4030683403</v>
      </c>
      <c r="K83" s="46">
        <f>IF(Calculations!$E23&gt;COUNT(Output!$B$35:K$35),Calculations!$B23,IF(Calculations!$E23=COUNT(Output!$B$35:K$35),Inputs!$B56-Calculations!$C23*(Calculations!$E23-1)+Calculations!$D23,0))</f>
        <v>110493.4030683403</v>
      </c>
      <c r="L83" s="46">
        <f>IF(Calculations!$E23&gt;COUNT(Output!$B$35:L$35),Calculations!$B23,IF(Calculations!$E23=COUNT(Output!$B$35:L$35),Inputs!$B56-Calculations!$C23*(Calculations!$E23-1)+Calculations!$D23,0))</f>
        <v>110493.4030683403</v>
      </c>
      <c r="M83" s="46">
        <f>IF(Calculations!$E23&gt;COUNT(Output!$B$35:M$35),Calculations!$B23,IF(Calculations!$E23=COUNT(Output!$B$35:M$35),Inputs!$B56-Calculations!$C23*(Calculations!$E23-1)+Calculations!$D23,0))</f>
        <v>48266.56624825663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1263694</v>
      </c>
      <c r="AA83" s="46">
        <f>SUM(B83:M83)</f>
        <v>1263694</v>
      </c>
      <c r="AB83" s="46">
        <f>SUM(B83:Y83)</f>
        <v>1263694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110493.4030683403</v>
      </c>
      <c r="C88" s="19">
        <f>SUM(C72:C82,C66,C60,C54,C48,C42,C36)</f>
        <v>110493.4030683403</v>
      </c>
      <c r="D88" s="19">
        <f>SUM(D72:D82,D66,D60,D54,D48,D42,D36)</f>
        <v>110493.4030683403</v>
      </c>
      <c r="E88" s="19">
        <f>SUM(E72:E82,E66,E60,E54,E48,E42,E36)</f>
        <v>110493.4030683403</v>
      </c>
      <c r="F88" s="19">
        <f>SUM(F72:F82,F66,F60,F54,F48,F42,F36)</f>
        <v>110493.4030683403</v>
      </c>
      <c r="G88" s="19">
        <f>SUM(G72:G82,G66,G60,G54,G48,G42,G36)</f>
        <v>110493.4030683403</v>
      </c>
      <c r="H88" s="19">
        <f>SUM(H72:H82,H66,H60,H54,H48,H42,H36)</f>
        <v>110493.4030683403</v>
      </c>
      <c r="I88" s="19">
        <f>SUM(I72:I82,I66,I60,I54,I48,I42,I36)</f>
        <v>110493.4030683403</v>
      </c>
      <c r="J88" s="19">
        <f>SUM(J72:J82,J66,J60,J54,J48,J42,J36)</f>
        <v>110493.4030683403</v>
      </c>
      <c r="K88" s="19">
        <f>SUM(K72:K82,K66,K60,K54,K48,K42,K36)</f>
        <v>110493.4030683403</v>
      </c>
      <c r="L88" s="19">
        <f>SUM(L72:L82,L66,L60,L54,L48,L42,L36)</f>
        <v>110493.4030683403</v>
      </c>
      <c r="M88" s="19">
        <f>SUM(M72:M82,M66,M60,M54,M48,M42,M36)</f>
        <v>48266.56624825663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1263694</v>
      </c>
      <c r="AA88" s="19">
        <f>SUM(B88:M88)</f>
        <v>1263694</v>
      </c>
      <c r="AB88" s="19">
        <f>SUM(B88:Y88)</f>
        <v>1263694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3350000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823694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1223694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>
        <v>0</v>
      </c>
      <c r="C35" s="145" t="s">
        <v>113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0</v>
      </c>
    </row>
    <row r="42" spans="1:48">
      <c r="A42" s="55" t="s">
        <v>118</v>
      </c>
      <c r="B42" s="139" t="s">
        <v>113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122</v>
      </c>
    </row>
    <row r="45" spans="1:48">
      <c r="A45" s="56" t="s">
        <v>123</v>
      </c>
      <c r="B45" s="161">
        <v>0</v>
      </c>
    </row>
    <row r="46" spans="1:48" customHeight="1" ht="30">
      <c r="A46" s="57" t="s">
        <v>124</v>
      </c>
      <c r="B46" s="161">
        <v>200000</v>
      </c>
    </row>
    <row r="47" spans="1:48" customHeight="1" ht="30">
      <c r="A47" s="57" t="s">
        <v>125</v>
      </c>
      <c r="B47" s="161">
        <v>500000</v>
      </c>
    </row>
    <row r="48" spans="1:48" customHeight="1" ht="30">
      <c r="A48" s="57" t="s">
        <v>126</v>
      </c>
      <c r="B48" s="161">
        <v>2500000</v>
      </c>
    </row>
    <row r="49" spans="1:48" customHeight="1" ht="30">
      <c r="A49" s="57" t="s">
        <v>127</v>
      </c>
      <c r="B49" s="161">
        <v>150000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2000000</v>
      </c>
      <c r="B56" s="159">
        <v>823694</v>
      </c>
      <c r="C56" s="162" t="s">
        <v>136</v>
      </c>
      <c r="D56" s="163" t="s">
        <v>137</v>
      </c>
      <c r="E56" s="163" t="s">
        <v>122</v>
      </c>
      <c r="F56" s="163" t="s">
        <v>138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140</v>
      </c>
      <c r="C65" s="10" t="s">
        <v>141</v>
      </c>
    </row>
    <row r="66" spans="1:48">
      <c r="A66" s="142" t="s">
        <v>142</v>
      </c>
      <c r="B66" s="159">
        <v>4326050</v>
      </c>
      <c r="C66" s="163">
        <v>4261050</v>
      </c>
      <c r="D66" s="49">
        <f>INDEX(Parameters!$D$79:$D$90,MATCH(Inputs!A66,Parameters!$C$79:$C$90,0))</f>
        <v>1</v>
      </c>
    </row>
    <row r="67" spans="1:48">
      <c r="A67" s="143" t="s">
        <v>113</v>
      </c>
      <c r="B67" s="157">
        <v>3734000</v>
      </c>
      <c r="C67" s="165">
        <v>3659700</v>
      </c>
      <c r="D67" s="49">
        <f>INDEX(Parameters!$D$79:$D$90,MATCH(Inputs!A67,Parameters!$C$79:$C$90,0))</f>
        <v>12</v>
      </c>
    </row>
    <row r="68" spans="1:48">
      <c r="A68" s="143" t="s">
        <v>143</v>
      </c>
      <c r="B68" s="157">
        <v>4352400</v>
      </c>
      <c r="C68" s="165">
        <v>4295980</v>
      </c>
      <c r="D68" s="49">
        <f>INDEX(Parameters!$D$79:$D$90,MATCH(Inputs!A68,Parameters!$C$79:$C$90,0))</f>
        <v>11</v>
      </c>
    </row>
    <row r="69" spans="1:48">
      <c r="A69" s="143" t="s">
        <v>144</v>
      </c>
      <c r="B69" s="157">
        <v>5440000</v>
      </c>
      <c r="C69" s="165">
        <v>5295088</v>
      </c>
      <c r="D69" s="49">
        <f>INDEX(Parameters!$D$79:$D$90,MATCH(Inputs!A69,Parameters!$C$79:$C$90,0))</f>
        <v>10</v>
      </c>
    </row>
    <row r="70" spans="1:48">
      <c r="A70" s="143" t="s">
        <v>145</v>
      </c>
      <c r="B70" s="157">
        <v>3774250</v>
      </c>
      <c r="C70" s="165">
        <v>3774016</v>
      </c>
      <c r="D70" s="49">
        <f>INDEX(Parameters!$D$79:$D$90,MATCH(Inputs!A70,Parameters!$C$79:$C$90,0))</f>
        <v>9</v>
      </c>
    </row>
    <row r="71" spans="1:48">
      <c r="A71" s="144" t="s">
        <v>146</v>
      </c>
      <c r="B71" s="158">
        <v>4739900</v>
      </c>
      <c r="C71" s="167">
        <v>4607670</v>
      </c>
      <c r="D71" s="49">
        <f>INDEX(Parameters!$D$79:$D$90,MATCH(Inputs!A71,Parameters!$C$79:$C$90,0))</f>
        <v>8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400000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18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2000000</v>
      </c>
      <c r="B23" s="75">
        <f>SUM(C23:D23)</f>
        <v>110493.4030683403</v>
      </c>
      <c r="C23" s="75">
        <f>IF(Inputs!B56&gt;0,(Inputs!A56-Inputs!B56)/(DATE(YEAR(Inputs!$B$76),MONTH(Inputs!$B$76),DAY(Inputs!$B$76))-DATE(YEAR(Inputs!C56),MONTH(Inputs!C56),DAY(Inputs!C56)))*30,0)</f>
        <v>73826.73640167364</v>
      </c>
      <c r="D23" s="75">
        <f>IF(Inputs!B56&gt;0,Inputs!A56*0.22/12,0)</f>
        <v>36666.66666666666</v>
      </c>
      <c r="E23" s="75">
        <f>IFERROR(ROUNDUP(Inputs!B56/C23,0),0)</f>
        <v>12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28888.88888888889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28888.88888888889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28888.88888888889</v>
      </c>
      <c r="D35" s="170">
        <f>IFERROR(DATE(YEAR(B35),MONTH(B35),1)," ")</f>
        <v>43252</v>
      </c>
      <c r="F35" t="s">
        <v>155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28888.88888888889</v>
      </c>
      <c r="D36" s="170">
        <f>IFERROR(DATE(YEAR(B36),MONTH(B36),1)," ")</f>
        <v>43282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28888.88888888889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28888.88888888889</v>
      </c>
      <c r="D38" s="170">
        <f>IFERROR(DATE(YEAR(B38),MONTH(B38),1)," ")</f>
        <v>43344</v>
      </c>
      <c r="F38" t="s">
        <v>218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28888.88888888889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28888.88888888889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28888.88888888889</v>
      </c>
      <c r="D41" s="170">
        <f>IFERROR(DATE(YEAR(B41),MONTH(B41),1)," ")</f>
        <v>43435</v>
      </c>
      <c r="F41" t="s">
        <v>219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28888.88888888889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28888.88888888889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28888.88888888889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43564</v>
      </c>
      <c r="C45" s="27">
        <f>IF(B45&lt;&gt;"",IF(COUNT($A$33:A45)&lt;=$G$39,0,$G$41)+IF(COUNT($A$33:A45)&lt;=$G$40,0,$G$42),0)</f>
        <v>28888.88888888889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43594</v>
      </c>
      <c r="C46" s="27">
        <f>IF(B46&lt;&gt;"",IF(COUNT($A$33:A46)&lt;=$G$39,0,$G$41)+IF(COUNT($A$33:A46)&lt;=$G$40,0,$G$42),0)</f>
        <v>28888.88888888889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43625</v>
      </c>
      <c r="C47" s="27">
        <f>IF(B47&lt;&gt;"",IF(COUNT($A$33:A47)&lt;=$G$39,0,$G$41)+IF(COUNT($A$33:A47)&lt;=$G$40,0,$G$42),0)</f>
        <v>28888.88888888889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43655</v>
      </c>
      <c r="C48" s="27">
        <f>IF(B48&lt;&gt;"",IF(COUNT($A$33:A48)&lt;=$G$39,0,$G$41)+IF(COUNT($A$33:A48)&lt;=$G$40,0,$G$42),0)</f>
        <v>28888.88888888889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43686</v>
      </c>
      <c r="C49" s="27">
        <f>IF(B49&lt;&gt;"",IF(COUNT($A$33:A49)&lt;=$G$39,0,$G$41)+IF(COUNT($A$33:A49)&lt;=$G$40,0,$G$42),0)</f>
        <v>28888.88888888889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43717</v>
      </c>
      <c r="C50" s="27">
        <f>IF(B50&lt;&gt;"",IF(COUNT($A$33:A50)&lt;=$G$39,0,$G$41)+IF(COUNT($A$33:A50)&lt;=$G$40,0,$G$42),0)</f>
        <v>28888.88888888889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116</v>
      </c>
      <c r="C41" s="191" t="s">
        <v>122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309</v>
      </c>
      <c r="I52" s="12" t="s">
        <v>120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122</v>
      </c>
      <c r="B77" s="176">
        <v>0</v>
      </c>
      <c r="C77" s="12" t="s">
        <v>343</v>
      </c>
      <c r="E77" s="12" t="s">
        <v>116</v>
      </c>
      <c r="F77" s="12" t="s">
        <v>116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120</v>
      </c>
      <c r="I78" s="12" t="s">
        <v>351</v>
      </c>
      <c r="J78" s="70" t="s">
        <v>352</v>
      </c>
      <c r="K78" s="12" t="s">
        <v>116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158</v>
      </c>
      <c r="J79" s="70" t="s">
        <v>356</v>
      </c>
      <c r="K79" s="12" t="s">
        <v>116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122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122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113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