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<sst xmlns="http://schemas.openxmlformats.org/spreadsheetml/2006/main" uniqueCount="365">
  <si>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</si>
  <si>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</si>
  <si>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</si>
  <si>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</si>
  <si>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</si>
  <si>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</si>
  <si>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</si>
  <si>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</si>
  <si>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</si>
  <si>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</si>
  <si>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</si>
  <si>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</si>
  <si>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</si>
  <si>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</si>
  <si>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</si>
  <si>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</si>
  <si>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</si>
  <si>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</si>
  <si>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</si>
  <si>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</si>
  <si>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</si>
  <si>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</si>
  <si>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</si>
  <si>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</si>
  <si>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</si>
  <si>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</si>
  <si>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</si>
  <si>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</si>
  <si>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</si>
  <si>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</si>
  <si>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</si>
  <si>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</si>
  <si>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</si>
  <si>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</si>
  <si>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</si>
  <si>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</si>
  <si>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</si>
  <si>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</si>
  <si>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</si>
  <si>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</si>
  <si>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</si>
  <si>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</si>
  <si>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</si>
  <si>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</si>
  <si>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</si>
  <si>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</si>
  <si>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</si>
  <si>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</si>
  <si>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</si>
  <si>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</si>
  <si>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</si>
  <si>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</si>
  <si>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</si>
  <si>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</si>
  <si>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</si>
  <si>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</si>
  <si>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</si>
  <si>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</si>
  <si>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</si>
  <si>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</si>
  <si>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</si>
  <si>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</si>
  <si>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</si>
  <si>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</si>
  <si>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</si>
  <si>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</si>
  <si>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</si>
  <si>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</si>
  <si>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</si>
  <si>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</si>
  <si>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</si>
  <si>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</si>
  <si>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</si>
  <si>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</si>
  <si>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</si>
  <si>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</si>
  <si>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</si>
  <si>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</si>
  <si>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</si>
  <si>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</si>
  <si>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</si>
  <si>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</si>
  <si>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</si>
  <si>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</si>
  <si>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</si>
  <si>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</si>
  <si>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</si>
  <si>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</si>
  <si>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</si>
  <si>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</si>
  <si>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</si>
  <si>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</si>
  <si>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</si>
  <si>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without the use of a pump</t>
  </si>
  <si>
    <t>April</t>
  </si>
  <si>
    <t>Cabbages</t>
  </si>
  <si>
    <t>Yes using a solar pump</t>
  </si>
  <si>
    <t>March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</si>
  <si>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</si>
  <si>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</si>
  <si>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</si>
  <si>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</si>
  <si>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</si>
  <si>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</si>
  <si>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</si>
  <si>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</si>
  <si>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</si>
  <si>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</si>
  <si>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</si>
  <si>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</si>
  <si>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</si>
  <si>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</si>
  <si>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</si>
  <si>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</si>
  <si>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Sheep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</si>
  <si>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</si>
  <si>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</si>
  <si>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</si>
  <si>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</si>
  <si>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</si>
  <si>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</si>
  <si>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</si>
  <si>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</si>
  <si>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</si>
  <si>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</si>
  <si>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</si>
  <si>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</si>
  <si>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</si>
  <si>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</si>
  <si>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</si>
  <si>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</si>
  <si>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</si>
  <si>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</si>
  <si>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</si>
  <si>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</si>
  <si>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</si>
  <si>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</si>
  <si>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</si>
  <si>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</si>
  <si>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</si>
  <si>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</si>
  <si>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</si>
  <si>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</si>
  <si>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</si>
  <si>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</si>
  <si>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</si>
  <si>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</si>
  <si>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</si>
  <si>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</si>
  <si>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</si>
  <si>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</si>
  <si>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</si>
  <si>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</si>
  <si>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</si>
  <si>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</si>
  <si>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</si>
  <si>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</si>
  <si>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</si>
  <si>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</si>
  <si>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</si>
  <si>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</t>
  </si>
  <si>
    <t>Loan terms</t>
  </si>
  <si>
    <t>Expected disbursement date</t>
  </si>
  <si>
    <t>Expected first repayment date</t>
  </si>
  <si>
    <t>2018/4/10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</si>
  <si>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</si>
  <si>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</si>
  <si>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</si>
  <si>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</si>
  <si>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</si>
  <si>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</si>
  <si>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</si>
  <si>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</si>
  <si>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</si>
  <si>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</si>
  <si>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</si>
  <si>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</si>
  <si>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</si>
  <si>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</si>
  <si>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</si>
  <si>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</si>
  <si>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</si>
  <si>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</si>
  <si>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</si>
  <si>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</si>
  <si>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</si>
  <si>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</si>
  <si>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</si>
  <si>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</si>
  <si>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</si>
  <si>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</si>
  <si>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</si>
  <si>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</si>
  <si>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</si>
  <si>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</si>
  <si>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</si>
  <si>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</si>
  <si>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</si>
  <si>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</si>
  <si>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</si>
  <si>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</si>
  <si>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</si>
  <si>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</si>
  <si>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</si>
  <si>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</si>
  <si>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</si>
  <si>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</si>
  <si>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</si>
  <si>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</si>
  <si>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</si>
  <si>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</si>
  <si>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</si>
  <si>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</si>
  <si>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</si>
  <si>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</si>
  <si>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</si>
  <si>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</si>
  <si>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</si>
  <si>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</si>
  <si>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</si>
  <si>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</si>
  <si>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</si>
  <si>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</si>
  <si>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</si>
  <si>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</si>
  <si>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</si>
  <si>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</si>
  <si>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</si>
  <si>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</si>
  <si>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</si>
  <si>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</si>
  <si>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</si>
  <si>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</si>
  <si>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</si>
  <si>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</si>
  <si>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</si>
  <si>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</si>
  <si>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</si>
  <si>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</si>
  <si>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</si>
  <si>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</si>
  <si>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</si>
  <si>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</si>
  <si>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</si>
  <si>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</si>
  <si>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</si>
  <si>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</si>
  <si>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</si>
  <si>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</si>
  <si>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</si>
  <si>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</si>
  <si>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</si>
  <si>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</si>
  <si>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</si>
  <si>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</si>
  <si>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</si>
  <si>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</si>
  <si>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</si>
  <si>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</si>
  <si>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</si>
  <si>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</si>
  <si>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</si>
  <si>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</si>
  <si>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</si>
  <si>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</si>
  <si>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</si>
  <si>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</si>
  <si>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</si>
  <si>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</si>
  <si>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</si>
  <si>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</si>
  <si>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</si>
  <si>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</si>
  <si>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</si>
  <si>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</si>
  <si>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</si>
  <si>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</si>
  <si>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</si>
  <si>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</si>
  <si>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</si>
  <si>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</si>
  <si>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</si>
  <si>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</si>
  <si>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</si>
  <si>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</si>
  <si>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</si>
  <si>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</si>
  <si>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</si>
  <si>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</si>
  <si>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</si>
  <si>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</si>
  <si>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</si>
  <si>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</si>
  <si>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</si>
  <si>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</si>
  <si>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</si>
  <si>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</si>
  <si>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</si>
  <si>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</si>
  <si>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</si>
  <si>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</si>
  <si>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</si>
  <si>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</si>
  <si>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</si>
  <si>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</si>
  <si>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</si>
  <si>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</si>
  <si>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</si>
  <si>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</si>
  <si>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</si>
  <si>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</si>
  <si>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</si>
  <si>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</si>
  <si>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</si>
  <si>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</si>
  <si>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</si>
  <si>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</si>
  <si>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</si>
  <si>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</si>
  <si>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</si>
  <si>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</si>
  <si>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</si>
  <si>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</si>
  <si>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</si>
  <si>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</si>
  <si>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</si>
  <si>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</si>
  <si>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</si>
  <si>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</si>
  <si>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</si>
  <si>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</si>
  <si>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</si>
  <si>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</si>
  <si>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</si>
  <si>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</si>
  <si>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</si>
  <si>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</si>
  <si>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</si>
  <si>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</si>
  <si>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</si>
  <si>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</si>
  <si>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</si>
  <si>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</si>
  <si>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</si>
  <si>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</si>
  <si>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</si>
  <si>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</si>
  <si>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</si>
  <si>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</si>
  <si>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</si>
  <si>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</si>
  <si>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</si>
  <si>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</si>
  <si>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</si>
  <si>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</si>
  <si>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</si>
  <si>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</si>
  <si>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</si>
  <si>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Always</t>
  </si>
  <si>
    <t>Shop_common variety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</si>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</sst>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Cabbages,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Sheep, Sheep, Chicken: sale of ex layers</v>
      </c>
    </row>
    <row r="8" spans="1:7">
      <c r="B8" s="1" t="s">
        <v>4</v>
      </c>
      <c r="C8" t="str">
        <f>IF(Inputs!B29="","None",Inputs!B29)</f>
        <v>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0.001407002634679685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0.0007501103103397559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91761069.63195516</v>
      </c>
    </row>
    <row r="18" spans="1:7">
      <c r="B18" s="1" t="s">
        <v>12</v>
      </c>
      <c r="C18" s="36">
        <f>MIN(Output!B6:M6)</f>
        <v>7636302.104824539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7670234.042743744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7641231.607069954</v>
      </c>
      <c r="C6" s="51">
        <f>C30-C88</f>
        <v>7636302.104824539</v>
      </c>
      <c r="D6" s="51">
        <f>D30-D88</f>
        <v>7637402.104824539</v>
      </c>
      <c r="E6" s="51">
        <f>E30-E88</f>
        <v>7637802.104824539</v>
      </c>
      <c r="F6" s="51">
        <f>F30-F88</f>
        <v>7657562.851690268</v>
      </c>
      <c r="G6" s="51">
        <f>G30-G88</f>
        <v>7670234.042743744</v>
      </c>
      <c r="H6" s="51">
        <f>H30-H88</f>
        <v>7641231.607069954</v>
      </c>
      <c r="I6" s="51">
        <f>I30-I88</f>
        <v>7636302.104824539</v>
      </c>
      <c r="J6" s="51">
        <f>J30-J88</f>
        <v>7637402.104824539</v>
      </c>
      <c r="K6" s="51">
        <f>K30-K88</f>
        <v>7637802.104824539</v>
      </c>
      <c r="L6" s="51">
        <f>L30-L88</f>
        <v>7657562.851690268</v>
      </c>
      <c r="M6" s="51">
        <f>M30-M88</f>
        <v>7670234.042743744</v>
      </c>
      <c r="N6" s="51">
        <f>N30-N88</f>
        <v>7641231.607069954</v>
      </c>
      <c r="O6" s="51">
        <f>O30-O88</f>
        <v>7636302.104824539</v>
      </c>
      <c r="P6" s="51">
        <f>P30-P88</f>
        <v>7637402.104824539</v>
      </c>
      <c r="Q6" s="51">
        <f>Q30-Q88</f>
        <v>7637802.104824539</v>
      </c>
      <c r="R6" s="51">
        <f>R30-R88</f>
        <v>7657562.851690268</v>
      </c>
      <c r="S6" s="51">
        <f>S30-S88</f>
        <v>40170234.04274374</v>
      </c>
      <c r="T6" s="51">
        <f>T30-T88</f>
        <v>7641231.607069954</v>
      </c>
      <c r="U6" s="51">
        <f>U30-U88</f>
        <v>7636302.104824539</v>
      </c>
      <c r="V6" s="51">
        <f>V30-V88</f>
        <v>7637402.104824539</v>
      </c>
      <c r="W6" s="51">
        <f>W30-W88</f>
        <v>7637802.104824539</v>
      </c>
      <c r="X6" s="51">
        <f>X30-X88</f>
        <v>7657562.851690268</v>
      </c>
      <c r="Y6" s="51">
        <f>Y30-Y88</f>
        <v>7670234.042743744</v>
      </c>
      <c r="Z6" s="51">
        <f>SUMIF($B$13:$Y$13,"Yes",B6:Y6)</f>
        <v>99402301.23902512</v>
      </c>
      <c r="AA6" s="51">
        <f>AA30-AA88</f>
        <v>91761069.63195518</v>
      </c>
      <c r="AB6" s="51">
        <f>AB30-AB88</f>
        <v>216022139.2639103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1355</v>
      </c>
      <c r="I7" s="80">
        <f>IF(ISERROR(VLOOKUP(MONTH(I5),Inputs!$D$66:$D$71,1,0)),"",INDEX(Inputs!$B$66:$B$71,MATCH(MONTH(Output!I5),Inputs!$D$66:$D$71,0))-INDEX(Inputs!$C$66:$C$71,MATCH(MONTH(Output!I5),Inputs!$D$66:$D$71,0)))</f>
        <v>5300</v>
      </c>
      <c r="J7" s="80">
        <f>IF(ISERROR(VLOOKUP(MONTH(J5),Inputs!$D$66:$D$71,1,0)),"",INDEX(Inputs!$B$66:$B$71,MATCH(MONTH(Output!J5),Inputs!$D$66:$D$71,0))-INDEX(Inputs!$C$66:$C$71,MATCH(MONTH(Output!J5),Inputs!$D$66:$D$71,0)))</f>
        <v>3480</v>
      </c>
      <c r="K7" s="80">
        <f>IF(ISERROR(VLOOKUP(MONTH(K5),Inputs!$D$66:$D$71,1,0)),"",INDEX(Inputs!$B$66:$B$71,MATCH(MONTH(Output!K5),Inputs!$D$66:$D$71,0))-INDEX(Inputs!$C$66:$C$71,MATCH(MONTH(Output!K5),Inputs!$D$66:$D$71,0)))</f>
        <v>4898</v>
      </c>
      <c r="L7" s="80">
        <f>IF(ISERROR(VLOOKUP(MONTH(L5),Inputs!$D$66:$D$71,1,0)),"",INDEX(Inputs!$B$66:$B$71,MATCH(MONTH(Output!L5),Inputs!$D$66:$D$71,0))-INDEX(Inputs!$C$66:$C$71,MATCH(MONTH(Output!L5),Inputs!$D$66:$D$71,0)))</f>
        <v>7805</v>
      </c>
      <c r="M7" s="80">
        <f>IF(ISERROR(VLOOKUP(MONTH(M5),Inputs!$D$66:$D$71,1,0)),"",INDEX(Inputs!$B$66:$B$71,MATCH(MONTH(Output!M5),Inputs!$D$66:$D$71,0))-INDEX(Inputs!$C$66:$C$71,MATCH(MONTH(Output!M5),Inputs!$D$66:$D$71,0)))</f>
        <v>2447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1355</v>
      </c>
      <c r="U7" s="80">
        <f>IF(ISERROR(VLOOKUP(MONTH(U5),Inputs!$D$66:$D$71,1,0)),"",INDEX(Inputs!$B$66:$B$71,MATCH(MONTH(Output!U5),Inputs!$D$66:$D$71,0))-INDEX(Inputs!$C$66:$C$71,MATCH(MONTH(Output!U5),Inputs!$D$66:$D$71,0)))</f>
        <v>5300</v>
      </c>
      <c r="V7" s="80">
        <f>IF(ISERROR(VLOOKUP(MONTH(V5),Inputs!$D$66:$D$71,1,0)),"",INDEX(Inputs!$B$66:$B$71,MATCH(MONTH(Output!V5),Inputs!$D$66:$D$71,0))-INDEX(Inputs!$C$66:$C$71,MATCH(MONTH(Output!V5),Inputs!$D$66:$D$71,0)))</f>
        <v>3480</v>
      </c>
      <c r="W7" s="80">
        <f>IF(ISERROR(VLOOKUP(MONTH(W5),Inputs!$D$66:$D$71,1,0)),"",INDEX(Inputs!$B$66:$B$71,MATCH(MONTH(Output!W5),Inputs!$D$66:$D$71,0))-INDEX(Inputs!$C$66:$C$71,MATCH(MONTH(Output!W5),Inputs!$D$66:$D$71,0)))</f>
        <v>4898</v>
      </c>
      <c r="X7" s="80">
        <f>IF(ISERROR(VLOOKUP(MONTH(X5),Inputs!$D$66:$D$71,1,0)),"",INDEX(Inputs!$B$66:$B$71,MATCH(MONTH(Output!X5),Inputs!$D$66:$D$71,0))-INDEX(Inputs!$C$66:$C$71,MATCH(MONTH(Output!X5),Inputs!$D$66:$D$71,0)))</f>
        <v>7805</v>
      </c>
      <c r="Y7" s="80">
        <f>IF(ISERROR(VLOOKUP(MONTH(Y5),Inputs!$D$66:$D$71,1,0)),"",INDEX(Inputs!$B$66:$B$71,MATCH(MONTH(Output!Y5),Inputs!$D$66:$D$71,0))-INDEX(Inputs!$C$66:$C$71,MATCH(MONTH(Output!Y5),Inputs!$D$66:$D$71,0)))</f>
        <v>2447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11666.66666666667</v>
      </c>
      <c r="D10" s="37">
        <f>SUMPRODUCT((Calculations!$D$33:$D$84=Output!D5)+0,Calculations!$C$33:$C$84)</f>
        <v>11666.66666666667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140000</v>
      </c>
      <c r="AA10" s="37">
        <f>SUM(B10:M10)</f>
        <v>128333.3333333334</v>
      </c>
      <c r="AB10" s="37">
        <f>SUM(B10:Y10)</f>
        <v>140000</v>
      </c>
    </row>
    <row r="11" spans="1:30" customHeight="1" ht="15.75">
      <c r="A11" s="43" t="s">
        <v>31</v>
      </c>
      <c r="B11" s="80">
        <f>B6+B9-B10</f>
        <v>7741231.607069954</v>
      </c>
      <c r="C11" s="80">
        <f>C6+C9-C10</f>
        <v>7624635.438157872</v>
      </c>
      <c r="D11" s="80">
        <f>D6+D9-D10</f>
        <v>7625735.438157872</v>
      </c>
      <c r="E11" s="80">
        <f>E6+E9-E10</f>
        <v>7626135.438157872</v>
      </c>
      <c r="F11" s="80">
        <f>F6+F9-F10</f>
        <v>7645896.185023601</v>
      </c>
      <c r="G11" s="80">
        <f>G6+G9-G10</f>
        <v>7658567.376077077</v>
      </c>
      <c r="H11" s="80">
        <f>H6+H9-H10</f>
        <v>7629564.940403287</v>
      </c>
      <c r="I11" s="80">
        <f>I6+I9-I10</f>
        <v>7624635.438157872</v>
      </c>
      <c r="J11" s="80">
        <f>J6+J9-J10</f>
        <v>7625735.438157872</v>
      </c>
      <c r="K11" s="80">
        <f>K6+K9-K10</f>
        <v>7626135.438157872</v>
      </c>
      <c r="L11" s="80">
        <f>L6+L9-L10</f>
        <v>7645896.185023601</v>
      </c>
      <c r="M11" s="80">
        <f>M6+M9-M10</f>
        <v>7658567.376077077</v>
      </c>
      <c r="N11" s="80">
        <f>N6+N9-N10</f>
        <v>7629564.940403287</v>
      </c>
      <c r="O11" s="80">
        <f>O6+O9-O10</f>
        <v>7636302.104824539</v>
      </c>
      <c r="P11" s="80">
        <f>P6+P9-P10</f>
        <v>7637402.104824539</v>
      </c>
      <c r="Q11" s="80">
        <f>Q6+Q9-Q10</f>
        <v>7637802.104824539</v>
      </c>
      <c r="R11" s="80">
        <f>R6+R9-R10</f>
        <v>7657562.851690268</v>
      </c>
      <c r="S11" s="80">
        <f>S6+S9-S10</f>
        <v>40170234.04274374</v>
      </c>
      <c r="T11" s="80">
        <f>T6+T9-T10</f>
        <v>7641231.607069954</v>
      </c>
      <c r="U11" s="80">
        <f>U6+U9-U10</f>
        <v>7636302.104824539</v>
      </c>
      <c r="V11" s="80">
        <f>V6+V9-V10</f>
        <v>7637402.104824539</v>
      </c>
      <c r="W11" s="80">
        <f>W6+W9-W10</f>
        <v>7637802.104824539</v>
      </c>
      <c r="X11" s="80">
        <f>X6+X9-X10</f>
        <v>7657562.851690268</v>
      </c>
      <c r="Y11" s="80">
        <f>Y6+Y9-Y10</f>
        <v>7670234.042743744</v>
      </c>
      <c r="Z11" s="85">
        <f>SUMIF($B$13:$Y$13,"Yes",B11:Y11)</f>
        <v>99362301.23902512</v>
      </c>
      <c r="AA11" s="80">
        <f>SUM(B11:M11)</f>
        <v>91732736.29862183</v>
      </c>
      <c r="AB11" s="46">
        <f>SUM(B11:Y11)</f>
        <v>215982139.2639103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0.000758682561537324</v>
      </c>
      <c r="D12" s="82">
        <f>IF(D13="Yes",IF(SUM($B$10:D10)/(SUM($B$6:D6)+SUM($B$9:D9))&lt;0,999.99,SUM($B$10:D10)/(SUM($B$6:D6)+SUM($B$9:D9))),"")</f>
        <v>0.001013834386467548</v>
      </c>
      <c r="E12" s="82">
        <f>IF(E13="Yes",IF(SUM($B$10:E10)/(SUM($B$6:E6)+SUM($B$9:E9))&lt;0,999.99,SUM($B$10:E10)/(SUM($B$6:E6)+SUM($B$9:E9))),"")</f>
        <v>0.001141822961772072</v>
      </c>
      <c r="F12" s="82">
        <f>IF(F13="Yes",IF(SUM($B$10:F10)/(SUM($B$6:F6)+SUM($B$9:F9))&lt;0,999.99,SUM($B$10:F10)/(SUM($B$6:F6)+SUM($B$9:F9))),"")</f>
        <v>0.001218123212942018</v>
      </c>
      <c r="G12" s="82">
        <f>IF(G13="Yes",IF(SUM($B$10:G10)/(SUM($B$6:G6)+SUM($B$9:G9))&lt;0,999.99,SUM($B$10:G10)/(SUM($B$6:G6)+SUM($B$9:G9))),"")</f>
        <v>0.001268652780286134</v>
      </c>
      <c r="H12" s="82">
        <f>IF(H13="Yes",IF(SUM($B$10:H10)/(SUM($B$6:H6)+SUM($B$9:H9))&lt;0,999.99,SUM($B$10:H10)/(SUM($B$6:H6)+SUM($B$9:H9))),"")</f>
        <v>0.001305440023137933</v>
      </c>
      <c r="I12" s="82">
        <f>IF(I13="Yes",IF(SUM($B$10:I10)/(SUM($B$6:I6)+SUM($B$9:I9))&lt;0,999.99,SUM($B$10:I10)/(SUM($B$6:I6)+SUM($B$9:I9))),"")</f>
        <v>0.001333157715044653</v>
      </c>
      <c r="J12" s="82">
        <f>IF(J13="Yes",IF(SUM($B$10:J10)/(SUM($B$6:J6)+SUM($B$9:J9))&lt;0,999.99,SUM($B$10:J10)/(SUM($B$6:J6)+SUM($B$9:J9))),"")</f>
        <v>0.001354709278798931</v>
      </c>
      <c r="K12" s="82">
        <f>IF(K13="Yes",IF(SUM($B$10:K10)/(SUM($B$6:K6)+SUM($B$9:K9))&lt;0,999.99,SUM($B$10:K10)/(SUM($B$6:K6)+SUM($B$9:K9))),"")</f>
        <v>0.001371952305765212</v>
      </c>
      <c r="L12" s="82">
        <f>IF(L13="Yes",IF(SUM($B$10:L10)/(SUM($B$6:L6)+SUM($B$9:L9))&lt;0,999.99,SUM($B$10:L10)/(SUM($B$6:L6)+SUM($B$9:L9))),"")</f>
        <v>0.001385740690779138</v>
      </c>
      <c r="M12" s="82">
        <f>IF(M13="Yes",IF(SUM($B$10:M10)/(SUM($B$6:M6)+SUM($B$9:M9))&lt;0,999.99,SUM($B$10:M10)/(SUM($B$6:M6)+SUM($B$9:M9))),"")</f>
        <v>0.001397037219874597</v>
      </c>
      <c r="N12" s="82">
        <f>IF(N13="Yes",IF(SUM($B$10:N10)/(SUM($B$6:N6)+SUM($B$9:N9))&lt;0,999.99,SUM($B$10:N10)/(SUM($B$6:N6)+SUM($B$9:N9))),"")</f>
        <v>0.001407002634679685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7641.502245415749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6946.820223105226</v>
      </c>
      <c r="H18" s="36">
        <f>T18</f>
        <v>7641.502245415749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6946.820223105226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7641.502245415749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6946.820223105226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7641.502245415749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6946.820223105226</v>
      </c>
      <c r="Z18" s="36">
        <f>SUMIF($B$13:$Y$13,"Yes",B18:Y18)</f>
        <v>36818.1471824577</v>
      </c>
      <c r="AA18" s="36">
        <f>SUM(B18:M18)</f>
        <v>29176.64493704195</v>
      </c>
      <c r="AB18" s="36">
        <f>SUM(B18:Y18)</f>
        <v>58353.28987408391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18944.86685389566</v>
      </c>
      <c r="G20" s="36">
        <f>S20</f>
        <v>22733.84022467479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18944.86685389566</v>
      </c>
      <c r="M20" s="36">
        <f>Y20</f>
        <v>22733.84022467479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18944.86685389566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22733.84022467479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18944.86685389566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22733.84022467479</v>
      </c>
      <c r="Z20" s="36">
        <f>SUMIF($B$13:$Y$13,"Yes",B20:Y20)</f>
        <v>83357.4141571409</v>
      </c>
      <c r="AA20" s="36">
        <f>SUM(B20:M20)</f>
        <v>83357.4141571409</v>
      </c>
      <c r="AB20" s="36">
        <f>SUM(B20:Y20)</f>
        <v>166714.8283142818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27488609.02255637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16946428.57142856</v>
      </c>
      <c r="C24" s="36">
        <f>IFERROR(Calculations!$P14/12,"")</f>
        <v>16946428.57142856</v>
      </c>
      <c r="D24" s="36">
        <f>IFERROR(Calculations!$P14/12,"")</f>
        <v>16946428.57142856</v>
      </c>
      <c r="E24" s="36">
        <f>IFERROR(Calculations!$P14/12,"")</f>
        <v>16946428.57142856</v>
      </c>
      <c r="F24" s="36">
        <f>IFERROR(Calculations!$P14/12,"")</f>
        <v>16946428.57142856</v>
      </c>
      <c r="G24" s="36">
        <f>IFERROR(Calculations!$P14/12,"")</f>
        <v>16946428.57142856</v>
      </c>
      <c r="H24" s="36">
        <f>IFERROR(Calculations!$P14/12,"")</f>
        <v>16946428.57142856</v>
      </c>
      <c r="I24" s="36">
        <f>IFERROR(Calculations!$P14/12,"")</f>
        <v>16946428.57142856</v>
      </c>
      <c r="J24" s="36">
        <f>IFERROR(Calculations!$P14/12,"")</f>
        <v>16946428.57142856</v>
      </c>
      <c r="K24" s="36">
        <f>IFERROR(Calculations!$P14/12,"")</f>
        <v>16946428.57142856</v>
      </c>
      <c r="L24" s="36">
        <f>IFERROR(Calculations!$P14/12,"")</f>
        <v>16946428.57142856</v>
      </c>
      <c r="M24" s="36">
        <f>IFERROR(Calculations!$P14/12,"")</f>
        <v>16946428.57142856</v>
      </c>
      <c r="N24" s="36">
        <f>IFERROR(Calculations!$P14/12,"")</f>
        <v>16946428.57142856</v>
      </c>
      <c r="O24" s="36">
        <f>IFERROR(Calculations!$P14/12,"")</f>
        <v>16946428.57142856</v>
      </c>
      <c r="P24" s="36">
        <f>IFERROR(Calculations!$P14/12,"")</f>
        <v>16946428.57142856</v>
      </c>
      <c r="Q24" s="36">
        <f>IFERROR(Calculations!$P14/12,"")</f>
        <v>16946428.57142856</v>
      </c>
      <c r="R24" s="36">
        <f>IFERROR(Calculations!$P14/12,"")</f>
        <v>16946428.57142856</v>
      </c>
      <c r="S24" s="36">
        <f>IFERROR(Calculations!$P14/12,"")</f>
        <v>16946428.57142856</v>
      </c>
      <c r="T24" s="36">
        <f>IFERROR(Calculations!$P14/12,"")</f>
        <v>16946428.57142856</v>
      </c>
      <c r="U24" s="36">
        <f>IFERROR(Calculations!$P14/12,"")</f>
        <v>16946428.57142856</v>
      </c>
      <c r="V24" s="36">
        <f>IFERROR(Calculations!$P14/12,"")</f>
        <v>16946428.57142856</v>
      </c>
      <c r="W24" s="36">
        <f>IFERROR(Calculations!$P14/12,"")</f>
        <v>16946428.57142856</v>
      </c>
      <c r="X24" s="36">
        <f>IFERROR(Calculations!$P14/12,"")</f>
        <v>16946428.57142856</v>
      </c>
      <c r="Y24" s="36">
        <f>IFERROR(Calculations!$P14/12,"")</f>
        <v>16946428.57142856</v>
      </c>
      <c r="Z24" s="36">
        <f>SUMIF($B$13:$Y$13,"Yes",B24:Y24)</f>
        <v>220303571.4285713</v>
      </c>
      <c r="AA24" s="36">
        <f>SUM(B24:M24)</f>
        <v>203357142.8571428</v>
      </c>
      <c r="AB24" s="46">
        <f>SUM(B24:Y24)</f>
        <v>406714285.7142853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15625</v>
      </c>
      <c r="C25" s="36">
        <f>IFERROR(Calculations!$P15/12,"")</f>
        <v>15625</v>
      </c>
      <c r="D25" s="36">
        <f>IFERROR(Calculations!$P15/12,"")</f>
        <v>15625</v>
      </c>
      <c r="E25" s="36">
        <f>IFERROR(Calculations!$P15/12,"")</f>
        <v>15625</v>
      </c>
      <c r="F25" s="36">
        <f>IFERROR(Calculations!$P15/12,"")</f>
        <v>15625</v>
      </c>
      <c r="G25" s="36">
        <f>IFERROR(Calculations!$P15/12,"")</f>
        <v>15625</v>
      </c>
      <c r="H25" s="36">
        <f>IFERROR(Calculations!$P15/12,"")</f>
        <v>15625</v>
      </c>
      <c r="I25" s="36">
        <f>IFERROR(Calculations!$P15/12,"")</f>
        <v>15625</v>
      </c>
      <c r="J25" s="36">
        <f>IFERROR(Calculations!$P15/12,"")</f>
        <v>15625</v>
      </c>
      <c r="K25" s="36">
        <f>IFERROR(Calculations!$P15/12,"")</f>
        <v>15625</v>
      </c>
      <c r="L25" s="36">
        <f>IFERROR(Calculations!$P15/12,"")</f>
        <v>15625</v>
      </c>
      <c r="M25" s="36">
        <f>IFERROR(Calculations!$P15/12,"")</f>
        <v>15625</v>
      </c>
      <c r="N25" s="36">
        <f>IFERROR(Calculations!$P15/12,"")</f>
        <v>15625</v>
      </c>
      <c r="O25" s="36">
        <f>IFERROR(Calculations!$P15/12,"")</f>
        <v>15625</v>
      </c>
      <c r="P25" s="36">
        <f>IFERROR(Calculations!$P15/12,"")</f>
        <v>15625</v>
      </c>
      <c r="Q25" s="36">
        <f>IFERROR(Calculations!$P15/12,"")</f>
        <v>15625</v>
      </c>
      <c r="R25" s="36">
        <f>IFERROR(Calculations!$P15/12,"")</f>
        <v>15625</v>
      </c>
      <c r="S25" s="36">
        <f>IFERROR(Calculations!$P15/12,"")</f>
        <v>15625</v>
      </c>
      <c r="T25" s="36">
        <f>IFERROR(Calculations!$P15/12,"")</f>
        <v>15625</v>
      </c>
      <c r="U25" s="36">
        <f>IFERROR(Calculations!$P15/12,"")</f>
        <v>15625</v>
      </c>
      <c r="V25" s="36">
        <f>IFERROR(Calculations!$P15/12,"")</f>
        <v>15625</v>
      </c>
      <c r="W25" s="36">
        <f>IFERROR(Calculations!$P15/12,"")</f>
        <v>15625</v>
      </c>
      <c r="X25" s="36">
        <f>IFERROR(Calculations!$P15/12,"")</f>
        <v>15625</v>
      </c>
      <c r="Y25" s="36">
        <f>IFERROR(Calculations!$P15/12,"")</f>
        <v>15625</v>
      </c>
      <c r="Z25" s="36">
        <f>SUMIF($B$13:$Y$13,"Yes",B25:Y25)</f>
        <v>203125</v>
      </c>
      <c r="AA25" s="36">
        <f>SUM(B25:M25)</f>
        <v>187500</v>
      </c>
      <c r="AB25" s="46">
        <f>SUM(B25:Y25)</f>
        <v>375000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8984.375</v>
      </c>
      <c r="C26" s="36">
        <f>IFERROR(Calculations!$P16/12,"")</f>
        <v>8984.375</v>
      </c>
      <c r="D26" s="36">
        <f>IFERROR(Calculations!$P16/12,"")</f>
        <v>8984.375</v>
      </c>
      <c r="E26" s="36">
        <f>IFERROR(Calculations!$P16/12,"")</f>
        <v>8984.375</v>
      </c>
      <c r="F26" s="36">
        <f>IFERROR(Calculations!$P16/12,"")</f>
        <v>8984.375</v>
      </c>
      <c r="G26" s="36">
        <f>IFERROR(Calculations!$P16/12,"")</f>
        <v>8984.375</v>
      </c>
      <c r="H26" s="36">
        <f>IFERROR(Calculations!$P16/12,"")</f>
        <v>8984.375</v>
      </c>
      <c r="I26" s="36">
        <f>IFERROR(Calculations!$P16/12,"")</f>
        <v>8984.375</v>
      </c>
      <c r="J26" s="36">
        <f>IFERROR(Calculations!$P16/12,"")</f>
        <v>8984.375</v>
      </c>
      <c r="K26" s="36">
        <f>IFERROR(Calculations!$P16/12,"")</f>
        <v>8984.375</v>
      </c>
      <c r="L26" s="36">
        <f>IFERROR(Calculations!$P16/12,"")</f>
        <v>8984.375</v>
      </c>
      <c r="M26" s="36">
        <f>IFERROR(Calculations!$P16/12,"")</f>
        <v>8984.375</v>
      </c>
      <c r="N26" s="36">
        <f>IFERROR(Calculations!$P16/12,"")</f>
        <v>8984.375</v>
      </c>
      <c r="O26" s="36">
        <f>IFERROR(Calculations!$P16/12,"")</f>
        <v>8984.375</v>
      </c>
      <c r="P26" s="36">
        <f>IFERROR(Calculations!$P16/12,"")</f>
        <v>8984.375</v>
      </c>
      <c r="Q26" s="36">
        <f>IFERROR(Calculations!$P16/12,"")</f>
        <v>8984.375</v>
      </c>
      <c r="R26" s="36">
        <f>IFERROR(Calculations!$P16/12,"")</f>
        <v>8984.375</v>
      </c>
      <c r="S26" s="36">
        <f>IFERROR(Calculations!$P16/12,"")</f>
        <v>8984.375</v>
      </c>
      <c r="T26" s="36">
        <f>IFERROR(Calculations!$P16/12,"")</f>
        <v>8984.375</v>
      </c>
      <c r="U26" s="36">
        <f>IFERROR(Calculations!$P16/12,"")</f>
        <v>8984.375</v>
      </c>
      <c r="V26" s="36">
        <f>IFERROR(Calculations!$P16/12,"")</f>
        <v>8984.375</v>
      </c>
      <c r="W26" s="36">
        <f>IFERROR(Calculations!$P16/12,"")</f>
        <v>8984.375</v>
      </c>
      <c r="X26" s="36">
        <f>IFERROR(Calculations!$P16/12,"")</f>
        <v>8984.375</v>
      </c>
      <c r="Y26" s="36">
        <f>IFERROR(Calculations!$P16/12,"")</f>
        <v>8984.375</v>
      </c>
      <c r="Z26" s="36">
        <f>SUMIF($B$13:$Y$13,"Yes",B26:Y26)</f>
        <v>116796.875</v>
      </c>
      <c r="AA26" s="36">
        <f>SUM(B26:M26)</f>
        <v>107812.5</v>
      </c>
      <c r="AB26" s="46">
        <f>SUM(B26:Y26)</f>
        <v>215625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32500000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32500000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177000</v>
      </c>
      <c r="C29" s="37">
        <f>Inputs!$B$30</f>
        <v>177000</v>
      </c>
      <c r="D29" s="37">
        <f>Inputs!$B$30</f>
        <v>177000</v>
      </c>
      <c r="E29" s="37">
        <f>Inputs!$B$30</f>
        <v>177000</v>
      </c>
      <c r="F29" s="37">
        <f>Inputs!$B$30</f>
        <v>177000</v>
      </c>
      <c r="G29" s="37">
        <f>Inputs!$B$30</f>
        <v>177000</v>
      </c>
      <c r="H29" s="37">
        <f>Inputs!$B$30</f>
        <v>177000</v>
      </c>
      <c r="I29" s="37">
        <f>Inputs!$B$30</f>
        <v>177000</v>
      </c>
      <c r="J29" s="37">
        <f>Inputs!$B$30</f>
        <v>177000</v>
      </c>
      <c r="K29" s="37">
        <f>Inputs!$B$30</f>
        <v>177000</v>
      </c>
      <c r="L29" s="37">
        <f>Inputs!$B$30</f>
        <v>177000</v>
      </c>
      <c r="M29" s="37">
        <f>Inputs!$B$30</f>
        <v>177000</v>
      </c>
      <c r="N29" s="37">
        <f>Inputs!$B$30</f>
        <v>177000</v>
      </c>
      <c r="O29" s="37">
        <f>Inputs!$B$30</f>
        <v>177000</v>
      </c>
      <c r="P29" s="37">
        <f>Inputs!$B$30</f>
        <v>177000</v>
      </c>
      <c r="Q29" s="37">
        <f>Inputs!$B$30</f>
        <v>177000</v>
      </c>
      <c r="R29" s="37">
        <f>Inputs!$B$30</f>
        <v>177000</v>
      </c>
      <c r="S29" s="37">
        <f>Inputs!$B$30</f>
        <v>177000</v>
      </c>
      <c r="T29" s="37">
        <f>Inputs!$B$30</f>
        <v>177000</v>
      </c>
      <c r="U29" s="37">
        <f>Inputs!$B$30</f>
        <v>177000</v>
      </c>
      <c r="V29" s="37">
        <f>Inputs!$B$30</f>
        <v>177000</v>
      </c>
      <c r="W29" s="37">
        <f>Inputs!$B$30</f>
        <v>177000</v>
      </c>
      <c r="X29" s="37">
        <f>Inputs!$B$30</f>
        <v>177000</v>
      </c>
      <c r="Y29" s="37">
        <f>Inputs!$B$30</f>
        <v>177000</v>
      </c>
      <c r="Z29" s="37">
        <f>SUMIF($B$13:$Y$13,"Yes",B29:Y29)</f>
        <v>2301000</v>
      </c>
      <c r="AA29" s="37">
        <f>SUM(B29:M29)</f>
        <v>2124000</v>
      </c>
      <c r="AB29" s="37">
        <f>SUM(B29:Y29)</f>
        <v>4248000</v>
      </c>
    </row>
    <row r="30" spans="1:30" customHeight="1" ht="15.75">
      <c r="A30" s="1" t="s">
        <v>37</v>
      </c>
      <c r="B30" s="19">
        <f>SUM(B18:B29)</f>
        <v>17155679.44867398</v>
      </c>
      <c r="C30" s="19">
        <f>SUM(C18:C29)</f>
        <v>17148037.94642856</v>
      </c>
      <c r="D30" s="19">
        <f>SUM(D18:D29)</f>
        <v>17148037.94642856</v>
      </c>
      <c r="E30" s="19">
        <f>SUM(E18:E29)</f>
        <v>17148037.94642856</v>
      </c>
      <c r="F30" s="19">
        <f>SUM(F18:F29)</f>
        <v>17166982.81328246</v>
      </c>
      <c r="G30" s="19">
        <f>SUM(G18:G29)</f>
        <v>17177718.60687634</v>
      </c>
      <c r="H30" s="19">
        <f>SUM(H18:H29)</f>
        <v>17155679.44867398</v>
      </c>
      <c r="I30" s="19">
        <f>SUM(I18:I29)</f>
        <v>17148037.94642856</v>
      </c>
      <c r="J30" s="19">
        <f>SUM(J18:J29)</f>
        <v>17148037.94642856</v>
      </c>
      <c r="K30" s="19">
        <f>SUM(K18:K29)</f>
        <v>17148037.94642856</v>
      </c>
      <c r="L30" s="19">
        <f>SUM(L18:L29)</f>
        <v>17166982.81328246</v>
      </c>
      <c r="M30" s="19">
        <f>SUM(M18:M29)</f>
        <v>17177718.60687634</v>
      </c>
      <c r="N30" s="19">
        <f>SUM(N18:N29)</f>
        <v>17155679.44867398</v>
      </c>
      <c r="O30" s="19">
        <f>SUM(O18:O29)</f>
        <v>17148037.94642856</v>
      </c>
      <c r="P30" s="19">
        <f>SUM(P18:P29)</f>
        <v>17148037.94642856</v>
      </c>
      <c r="Q30" s="19">
        <f>SUM(Q18:Q29)</f>
        <v>17148037.94642856</v>
      </c>
      <c r="R30" s="19">
        <f>SUM(R18:R29)</f>
        <v>17166982.81328246</v>
      </c>
      <c r="S30" s="19">
        <f>SUM(S18:S29)</f>
        <v>49677718.60687634</v>
      </c>
      <c r="T30" s="19">
        <f>SUM(T18:T29)</f>
        <v>17155679.44867398</v>
      </c>
      <c r="U30" s="19">
        <f>SUM(U18:U29)</f>
        <v>17148037.94642856</v>
      </c>
      <c r="V30" s="19">
        <f>SUM(V18:V29)</f>
        <v>17148037.94642856</v>
      </c>
      <c r="W30" s="19">
        <f>SUM(W18:W29)</f>
        <v>17148037.94642856</v>
      </c>
      <c r="X30" s="19">
        <f>SUM(X18:X29)</f>
        <v>17166982.81328246</v>
      </c>
      <c r="Y30" s="19">
        <f>SUM(Y18:Y29)</f>
        <v>17177718.60687634</v>
      </c>
      <c r="Z30" s="19">
        <f>SUMIF($B$13:$Y$13,"Yes",B30:Y30)</f>
        <v>223044668.864911</v>
      </c>
      <c r="AA30" s="19">
        <f>SUM(B30:M30)</f>
        <v>205888989.416237</v>
      </c>
      <c r="AB30" s="19">
        <f>SUM(B30:Y30)</f>
        <v>444277978.8324739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Cabbages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Maize</v>
      </c>
      <c r="B39" s="36">
        <f>N39</f>
        <v>4000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4000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4000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4000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12000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1212</v>
      </c>
      <c r="C42" s="36">
        <f>O42</f>
        <v>2500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1212</v>
      </c>
      <c r="I42" s="36">
        <f>U42</f>
        <v>2500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1212</v>
      </c>
      <c r="O42" s="36">
        <f>SUM(O43:O47)</f>
        <v>2500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1212</v>
      </c>
      <c r="U42" s="36">
        <f>SUM(U43:U47)</f>
        <v>2500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8636</v>
      </c>
      <c r="AA42" s="36">
        <f>SUM(B42:M42)</f>
        <v>7424</v>
      </c>
      <c r="AB42" s="36">
        <f>SUM(B42:Y42)</f>
        <v>14848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2500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2500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2500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2500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5000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Cabbages</v>
      </c>
      <c r="B44" s="36">
        <f>N44</f>
        <v>606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606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606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606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1818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 t="str">
        <f>Calculations!$A$6</f>
        <v>Maize</v>
      </c>
      <c r="B45" s="36">
        <f>N45</f>
        <v>606.0000000000001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606.0000000000001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606.0000000000001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606.0000000000001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1818</v>
      </c>
      <c r="AA45" s="36">
        <f>SUM(B45:M45)</f>
        <v>1212</v>
      </c>
      <c r="AB45" s="36">
        <f>SUM(B45:Y45)</f>
        <v>2424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3400</v>
      </c>
      <c r="E48" s="36">
        <f>Q48</f>
        <v>3000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3400</v>
      </c>
      <c r="K48" s="36">
        <f>W48</f>
        <v>3000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3400</v>
      </c>
      <c r="Q48" s="46">
        <f>SUM(Q49:Q53)</f>
        <v>3000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3400</v>
      </c>
      <c r="W48" s="46">
        <f>SUM(W49:W53)</f>
        <v>3000</v>
      </c>
      <c r="X48" s="46">
        <f>SUM(X49:X53)</f>
        <v>0</v>
      </c>
      <c r="Y48" s="46">
        <f>SUM(Y49:Y53)</f>
        <v>0</v>
      </c>
      <c r="Z48" s="46">
        <f>SUMIF($B$13:$Y$13,"Yes",B48:Y48)</f>
        <v>12800</v>
      </c>
      <c r="AA48" s="46">
        <f>SUM(B48:M48)</f>
        <v>12800</v>
      </c>
      <c r="AB48" s="46">
        <f>SUM(B48:Y48)</f>
        <v>25600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3000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3000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3000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3000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2800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2800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2800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2800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600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600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600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600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1200</v>
      </c>
      <c r="AA51" s="46">
        <f>SUM(B51:M51)</f>
        <v>1200</v>
      </c>
      <c r="AB51" s="46">
        <f>SUM(B51:Y51)</f>
        <v>2400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2184.119988168422</v>
      </c>
      <c r="G54" s="36">
        <f>S54</f>
        <v>248.7225285751961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2184.119988168422</v>
      </c>
      <c r="M54" s="36">
        <f>Y54</f>
        <v>248.7225285751961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2184.119988168422</v>
      </c>
      <c r="S54" s="46">
        <f>SUM(S55:S59)</f>
        <v>248.7225285751961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2184.119988168422</v>
      </c>
      <c r="Y54" s="46">
        <f>SUM(Y55:Y59)</f>
        <v>248.7225285751961</v>
      </c>
      <c r="Z54" s="46">
        <f>SUMIF($B$13:$Y$13,"Yes",B54:Y54)</f>
        <v>4865.685033487237</v>
      </c>
      <c r="AA54" s="46">
        <f>SUM(B54:M54)</f>
        <v>4865.685033487237</v>
      </c>
      <c r="AB54" s="46">
        <f>SUM(B54:Y54)</f>
        <v>9731.370066974472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248.7225285751961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248.7225285751961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248.7225285751961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248.7225285751961</v>
      </c>
      <c r="Z55" s="46">
        <f>SUMIF($B$13:$Y$13,"Yes",B55:Y55)</f>
        <v>497.4450571503922</v>
      </c>
      <c r="AA55" s="46">
        <f>SUM(B55:M55)</f>
        <v>497.4450571503922</v>
      </c>
      <c r="AB55" s="46">
        <f>SUM(B55:Y55)</f>
        <v>994.8901143007844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2184.119988168422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2184.119988168422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2184.119988168422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2184.119988168422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4368.239976336844</v>
      </c>
      <c r="AA57" s="46">
        <f>SUM(B57:M57)</f>
        <v>4368.239976336844</v>
      </c>
      <c r="AB57" s="46">
        <f>SUM(B57:Y57)</f>
        <v>8736.479952673688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3043567.708333333</v>
      </c>
      <c r="C74" s="46">
        <f>SUM(Calculations!$Q$14:$Q$16)/12</f>
        <v>3043567.708333333</v>
      </c>
      <c r="D74" s="46">
        <f>SUM(Calculations!$Q$14:$Q$16)/12</f>
        <v>3043567.708333333</v>
      </c>
      <c r="E74" s="46">
        <f>SUM(Calculations!$Q$14:$Q$16)/12</f>
        <v>3043567.708333333</v>
      </c>
      <c r="F74" s="46">
        <f>SUM(Calculations!$Q$14:$Q$16)/12</f>
        <v>3043567.708333333</v>
      </c>
      <c r="G74" s="46">
        <f>SUM(Calculations!$Q$14:$Q$16)/12</f>
        <v>3043567.708333333</v>
      </c>
      <c r="H74" s="46">
        <f>SUM(Calculations!$Q$14:$Q$16)/12</f>
        <v>3043567.708333333</v>
      </c>
      <c r="I74" s="46">
        <f>SUM(Calculations!$Q$14:$Q$16)/12</f>
        <v>3043567.708333333</v>
      </c>
      <c r="J74" s="46">
        <f>SUM(Calculations!$Q$14:$Q$16)/12</f>
        <v>3043567.708333333</v>
      </c>
      <c r="K74" s="46">
        <f>SUM(Calculations!$Q$14:$Q$16)/12</f>
        <v>3043567.708333333</v>
      </c>
      <c r="L74" s="46">
        <f>SUM(Calculations!$Q$14:$Q$16)/12</f>
        <v>3043567.708333333</v>
      </c>
      <c r="M74" s="46">
        <f>SUM(Calculations!$Q$14:$Q$16)/12</f>
        <v>3043567.708333333</v>
      </c>
      <c r="N74" s="46">
        <f>SUM(Calculations!$Q$14:$Q$16)/12</f>
        <v>3043567.708333333</v>
      </c>
      <c r="O74" s="46">
        <f>SUM(Calculations!$Q$14:$Q$16)/12</f>
        <v>3043567.708333333</v>
      </c>
      <c r="P74" s="46">
        <f>SUM(Calculations!$Q$14:$Q$16)/12</f>
        <v>3043567.708333333</v>
      </c>
      <c r="Q74" s="46">
        <f>SUM(Calculations!$Q$14:$Q$16)/12</f>
        <v>3043567.708333333</v>
      </c>
      <c r="R74" s="46">
        <f>SUM(Calculations!$Q$14:$Q$16)/12</f>
        <v>3043567.708333333</v>
      </c>
      <c r="S74" s="46">
        <f>SUM(Calculations!$Q$14:$Q$16)/12</f>
        <v>3043567.708333333</v>
      </c>
      <c r="T74" s="46">
        <f>SUM(Calculations!$Q$14:$Q$16)/12</f>
        <v>3043567.708333333</v>
      </c>
      <c r="U74" s="46">
        <f>SUM(Calculations!$Q$14:$Q$16)/12</f>
        <v>3043567.708333333</v>
      </c>
      <c r="V74" s="46">
        <f>SUM(Calculations!$Q$14:$Q$16)/12</f>
        <v>3043567.708333333</v>
      </c>
      <c r="W74" s="46">
        <f>SUM(Calculations!$Q$14:$Q$16)/12</f>
        <v>3043567.708333333</v>
      </c>
      <c r="X74" s="46">
        <f>SUM(Calculations!$Q$14:$Q$16)/12</f>
        <v>3043567.708333333</v>
      </c>
      <c r="Y74" s="46">
        <f>SUM(Calculations!$Q$14:$Q$16)/12</f>
        <v>3043567.708333333</v>
      </c>
      <c r="Z74" s="46">
        <f>SUMIF($B$13:$Y$13,"Yes",B74:Y74)</f>
        <v>39566380.20833333</v>
      </c>
      <c r="AA74" s="46">
        <f>SUM(B74:M74)</f>
        <v>36522812.49999999</v>
      </c>
      <c r="AB74" s="46">
        <f>SUM(B74:Y74)</f>
        <v>73045625.00000001</v>
      </c>
    </row>
    <row r="75" spans="1:30">
      <c r="A75" s="16" t="s">
        <v>47</v>
      </c>
      <c r="B75" s="46">
        <f>SUM(Calculations!$R$14:$R$16)/12</f>
        <v>143472.2222222222</v>
      </c>
      <c r="C75" s="46">
        <f>SUM(Calculations!$R$14:$R$16)/12</f>
        <v>143472.2222222222</v>
      </c>
      <c r="D75" s="46">
        <f>SUM(Calculations!$R$14:$R$16)/12</f>
        <v>143472.2222222222</v>
      </c>
      <c r="E75" s="46">
        <f>SUM(Calculations!$R$14:$R$16)/12</f>
        <v>143472.2222222222</v>
      </c>
      <c r="F75" s="46">
        <f>SUM(Calculations!$R$14:$R$16)/12</f>
        <v>143472.2222222222</v>
      </c>
      <c r="G75" s="46">
        <f>SUM(Calculations!$R$14:$R$16)/12</f>
        <v>143472.2222222222</v>
      </c>
      <c r="H75" s="46">
        <f>SUM(Calculations!$R$14:$R$16)/12</f>
        <v>143472.2222222222</v>
      </c>
      <c r="I75" s="46">
        <f>SUM(Calculations!$R$14:$R$16)/12</f>
        <v>143472.2222222222</v>
      </c>
      <c r="J75" s="46">
        <f>SUM(Calculations!$R$14:$R$16)/12</f>
        <v>143472.2222222222</v>
      </c>
      <c r="K75" s="46">
        <f>SUM(Calculations!$R$14:$R$16)/12</f>
        <v>143472.2222222222</v>
      </c>
      <c r="L75" s="46">
        <f>SUM(Calculations!$R$14:$R$16)/12</f>
        <v>143472.2222222222</v>
      </c>
      <c r="M75" s="46">
        <f>SUM(Calculations!$R$14:$R$16)/12</f>
        <v>143472.2222222222</v>
      </c>
      <c r="N75" s="46">
        <f>SUM(Calculations!$R$14:$R$16)/12</f>
        <v>143472.2222222222</v>
      </c>
      <c r="O75" s="46">
        <f>SUM(Calculations!$R$14:$R$16)/12</f>
        <v>143472.2222222222</v>
      </c>
      <c r="P75" s="46">
        <f>SUM(Calculations!$R$14:$R$16)/12</f>
        <v>143472.2222222222</v>
      </c>
      <c r="Q75" s="46">
        <f>SUM(Calculations!$R$14:$R$16)/12</f>
        <v>143472.2222222222</v>
      </c>
      <c r="R75" s="46">
        <f>SUM(Calculations!$R$14:$R$16)/12</f>
        <v>143472.2222222222</v>
      </c>
      <c r="S75" s="46">
        <f>SUM(Calculations!$R$14:$R$16)/12</f>
        <v>143472.2222222222</v>
      </c>
      <c r="T75" s="46">
        <f>SUM(Calculations!$R$14:$R$16)/12</f>
        <v>143472.2222222222</v>
      </c>
      <c r="U75" s="46">
        <f>SUM(Calculations!$R$14:$R$16)/12</f>
        <v>143472.2222222222</v>
      </c>
      <c r="V75" s="46">
        <f>SUM(Calculations!$R$14:$R$16)/12</f>
        <v>143472.2222222222</v>
      </c>
      <c r="W75" s="46">
        <f>SUM(Calculations!$R$14:$R$16)/12</f>
        <v>143472.2222222222</v>
      </c>
      <c r="X75" s="46">
        <f>SUM(Calculations!$R$14:$R$16)/12</f>
        <v>143472.2222222222</v>
      </c>
      <c r="Y75" s="46">
        <f>SUM(Calculations!$R$14:$R$16)/12</f>
        <v>143472.2222222222</v>
      </c>
      <c r="Z75" s="46">
        <f>SUMIF($B$13:$Y$13,"Yes",B75:Y75)</f>
        <v>1865138.888888889</v>
      </c>
      <c r="AA75" s="46">
        <f>SUM(B75:M75)</f>
        <v>1721666.666666667</v>
      </c>
      <c r="AB75" s="46">
        <f>SUM(B75:Y75)</f>
        <v>3443333.333333332</v>
      </c>
    </row>
    <row r="76" spans="1:30">
      <c r="A76" s="16" t="s">
        <v>48</v>
      </c>
      <c r="B76" s="46">
        <f>SUM(Calculations!$S$14:$S$16)/12</f>
        <v>1145358.709273183</v>
      </c>
      <c r="C76" s="46">
        <f>SUM(Calculations!$S$14:$S$16)/12</f>
        <v>1145358.709273183</v>
      </c>
      <c r="D76" s="46">
        <f>SUM(Calculations!$S$14:$S$16)/12</f>
        <v>1145358.709273183</v>
      </c>
      <c r="E76" s="46">
        <f>SUM(Calculations!$S$14:$S$16)/12</f>
        <v>1145358.709273183</v>
      </c>
      <c r="F76" s="46">
        <f>SUM(Calculations!$S$14:$S$16)/12</f>
        <v>1145358.709273183</v>
      </c>
      <c r="G76" s="46">
        <f>SUM(Calculations!$S$14:$S$16)/12</f>
        <v>1145358.709273183</v>
      </c>
      <c r="H76" s="46">
        <f>SUM(Calculations!$S$14:$S$16)/12</f>
        <v>1145358.709273183</v>
      </c>
      <c r="I76" s="46">
        <f>SUM(Calculations!$S$14:$S$16)/12</f>
        <v>1145358.709273183</v>
      </c>
      <c r="J76" s="46">
        <f>SUM(Calculations!$S$14:$S$16)/12</f>
        <v>1145358.709273183</v>
      </c>
      <c r="K76" s="46">
        <f>SUM(Calculations!$S$14:$S$16)/12</f>
        <v>1145358.709273183</v>
      </c>
      <c r="L76" s="46">
        <f>SUM(Calculations!$S$14:$S$16)/12</f>
        <v>1145358.709273183</v>
      </c>
      <c r="M76" s="46">
        <f>SUM(Calculations!$S$14:$S$16)/12</f>
        <v>1145358.709273183</v>
      </c>
      <c r="N76" s="46">
        <f>SUM(Calculations!$S$14:$S$16)/12</f>
        <v>1145358.709273183</v>
      </c>
      <c r="O76" s="46">
        <f>SUM(Calculations!$S$14:$S$16)/12</f>
        <v>1145358.709273183</v>
      </c>
      <c r="P76" s="46">
        <f>SUM(Calculations!$S$14:$S$16)/12</f>
        <v>1145358.709273183</v>
      </c>
      <c r="Q76" s="46">
        <f>SUM(Calculations!$S$14:$S$16)/12</f>
        <v>1145358.709273183</v>
      </c>
      <c r="R76" s="46">
        <f>SUM(Calculations!$S$14:$S$16)/12</f>
        <v>1145358.709273183</v>
      </c>
      <c r="S76" s="46">
        <f>SUM(Calculations!$S$14:$S$16)/12</f>
        <v>1145358.709273183</v>
      </c>
      <c r="T76" s="46">
        <f>SUM(Calculations!$S$14:$S$16)/12</f>
        <v>1145358.709273183</v>
      </c>
      <c r="U76" s="46">
        <f>SUM(Calculations!$S$14:$S$16)/12</f>
        <v>1145358.709273183</v>
      </c>
      <c r="V76" s="46">
        <f>SUM(Calculations!$S$14:$S$16)/12</f>
        <v>1145358.709273183</v>
      </c>
      <c r="W76" s="46">
        <f>SUM(Calculations!$S$14:$S$16)/12</f>
        <v>1145358.709273183</v>
      </c>
      <c r="X76" s="46">
        <f>SUM(Calculations!$S$14:$S$16)/12</f>
        <v>1145358.709273183</v>
      </c>
      <c r="Y76" s="46">
        <f>SUM(Calculations!$S$14:$S$16)/12</f>
        <v>1145358.709273183</v>
      </c>
      <c r="Z76" s="46">
        <f>SUMIF($B$13:$Y$13,"Yes",B76:Y76)</f>
        <v>14889663.22055137</v>
      </c>
      <c r="AA76" s="46">
        <f>SUM(B76:M76)</f>
        <v>13744304.51127819</v>
      </c>
      <c r="AB76" s="46">
        <f>SUM(B76:Y76)</f>
        <v>27488609.02255637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77000</v>
      </c>
      <c r="C79" s="46">
        <f>Inputs!$B$31</f>
        <v>77000</v>
      </c>
      <c r="D79" s="46">
        <f>Inputs!$B$31</f>
        <v>77000</v>
      </c>
      <c r="E79" s="46">
        <f>Inputs!$B$31</f>
        <v>77000</v>
      </c>
      <c r="F79" s="46">
        <f>Inputs!$B$31</f>
        <v>77000</v>
      </c>
      <c r="G79" s="46">
        <f>Inputs!$B$31</f>
        <v>77000</v>
      </c>
      <c r="H79" s="46">
        <f>Inputs!$B$31</f>
        <v>77000</v>
      </c>
      <c r="I79" s="46">
        <f>Inputs!$B$31</f>
        <v>77000</v>
      </c>
      <c r="J79" s="46">
        <f>Inputs!$B$31</f>
        <v>77000</v>
      </c>
      <c r="K79" s="46">
        <f>Inputs!$B$31</f>
        <v>77000</v>
      </c>
      <c r="L79" s="46">
        <f>Inputs!$B$31</f>
        <v>77000</v>
      </c>
      <c r="M79" s="46">
        <f>Inputs!$B$31</f>
        <v>77000</v>
      </c>
      <c r="N79" s="46">
        <f>Inputs!$B$31</f>
        <v>77000</v>
      </c>
      <c r="O79" s="46">
        <f>Inputs!$B$31</f>
        <v>77000</v>
      </c>
      <c r="P79" s="46">
        <f>Inputs!$B$31</f>
        <v>77000</v>
      </c>
      <c r="Q79" s="46">
        <f>Inputs!$B$31</f>
        <v>77000</v>
      </c>
      <c r="R79" s="46">
        <f>Inputs!$B$31</f>
        <v>77000</v>
      </c>
      <c r="S79" s="46">
        <f>Inputs!$B$31</f>
        <v>77000</v>
      </c>
      <c r="T79" s="46">
        <f>Inputs!$B$31</f>
        <v>77000</v>
      </c>
      <c r="U79" s="46">
        <f>Inputs!$B$31</f>
        <v>77000</v>
      </c>
      <c r="V79" s="46">
        <f>Inputs!$B$31</f>
        <v>77000</v>
      </c>
      <c r="W79" s="46">
        <f>Inputs!$B$31</f>
        <v>77000</v>
      </c>
      <c r="X79" s="46">
        <f>Inputs!$B$31</f>
        <v>77000</v>
      </c>
      <c r="Y79" s="46">
        <f>Inputs!$B$31</f>
        <v>77000</v>
      </c>
      <c r="Z79" s="46">
        <f>SUMIF($B$13:$Y$13,"Yes",B79:Y79)</f>
        <v>1001000</v>
      </c>
      <c r="AA79" s="46">
        <f>SUM(B79:M79)</f>
        <v>924000</v>
      </c>
      <c r="AB79" s="46">
        <f>SUM(B79:Y79)</f>
        <v>1848000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5097837.201775287</v>
      </c>
      <c r="C81" s="46">
        <f>(SUM($AA$18:$AA$29)-SUM($AA$36,$AA$42,$AA$48,$AA$54,$AA$60,$AA$66,$AA$72:$AA$79))*Parameters!$B$37/12</f>
        <v>5097837.201775287</v>
      </c>
      <c r="D81" s="46">
        <f>(SUM($AA$18:$AA$29)-SUM($AA$36,$AA$42,$AA$48,$AA$54,$AA$60,$AA$66,$AA$72:$AA$79))*Parameters!$B$37/12</f>
        <v>5097837.201775287</v>
      </c>
      <c r="E81" s="46">
        <f>(SUM($AA$18:$AA$29)-SUM($AA$36,$AA$42,$AA$48,$AA$54,$AA$60,$AA$66,$AA$72:$AA$79))*Parameters!$B$37/12</f>
        <v>5097837.201775287</v>
      </c>
      <c r="F81" s="46">
        <f>(SUM($AA$18:$AA$29)-SUM($AA$36,$AA$42,$AA$48,$AA$54,$AA$60,$AA$66,$AA$72:$AA$79))*Parameters!$B$37/12</f>
        <v>5097837.201775287</v>
      </c>
      <c r="G81" s="46">
        <f>(SUM($AA$18:$AA$29)-SUM($AA$36,$AA$42,$AA$48,$AA$54,$AA$60,$AA$66,$AA$72:$AA$79))*Parameters!$B$37/12</f>
        <v>5097837.201775287</v>
      </c>
      <c r="H81" s="46">
        <f>(SUM($AA$18:$AA$29)-SUM($AA$36,$AA$42,$AA$48,$AA$54,$AA$60,$AA$66,$AA$72:$AA$79))*Parameters!$B$37/12</f>
        <v>5097837.201775287</v>
      </c>
      <c r="I81" s="46">
        <f>(SUM($AA$18:$AA$29)-SUM($AA$36,$AA$42,$AA$48,$AA$54,$AA$60,$AA$66,$AA$72:$AA$79))*Parameters!$B$37/12</f>
        <v>5097837.201775287</v>
      </c>
      <c r="J81" s="46">
        <f>(SUM($AA$18:$AA$29)-SUM($AA$36,$AA$42,$AA$48,$AA$54,$AA$60,$AA$66,$AA$72:$AA$79))*Parameters!$B$37/12</f>
        <v>5097837.201775287</v>
      </c>
      <c r="K81" s="46">
        <f>(SUM($AA$18:$AA$29)-SUM($AA$36,$AA$42,$AA$48,$AA$54,$AA$60,$AA$66,$AA$72:$AA$79))*Parameters!$B$37/12</f>
        <v>5097837.201775287</v>
      </c>
      <c r="L81" s="46">
        <f>(SUM($AA$18:$AA$29)-SUM($AA$36,$AA$42,$AA$48,$AA$54,$AA$60,$AA$66,$AA$72:$AA$79))*Parameters!$B$37/12</f>
        <v>5097837.201775287</v>
      </c>
      <c r="M81" s="46">
        <f>(SUM($AA$18:$AA$29)-SUM($AA$36,$AA$42,$AA$48,$AA$54,$AA$60,$AA$66,$AA$72:$AA$79))*Parameters!$B$37/12</f>
        <v>5097837.201775287</v>
      </c>
      <c r="N81" s="46">
        <f>(SUM($AA$18:$AA$29)-SUM($AA$36,$AA$42,$AA$48,$AA$54,$AA$60,$AA$66,$AA$72:$AA$79))*Parameters!$B$37/12</f>
        <v>5097837.201775287</v>
      </c>
      <c r="O81" s="46">
        <f>(SUM($AA$18:$AA$29)-SUM($AA$36,$AA$42,$AA$48,$AA$54,$AA$60,$AA$66,$AA$72:$AA$79))*Parameters!$B$37/12</f>
        <v>5097837.201775287</v>
      </c>
      <c r="P81" s="46">
        <f>(SUM($AA$18:$AA$29)-SUM($AA$36,$AA$42,$AA$48,$AA$54,$AA$60,$AA$66,$AA$72:$AA$79))*Parameters!$B$37/12</f>
        <v>5097837.201775287</v>
      </c>
      <c r="Q81" s="46">
        <f>(SUM($AA$18:$AA$29)-SUM($AA$36,$AA$42,$AA$48,$AA$54,$AA$60,$AA$66,$AA$72:$AA$79))*Parameters!$B$37/12</f>
        <v>5097837.201775287</v>
      </c>
      <c r="R81" s="46">
        <f>(SUM($AA$18:$AA$29)-SUM($AA$36,$AA$42,$AA$48,$AA$54,$AA$60,$AA$66,$AA$72:$AA$79))*Parameters!$B$37/12</f>
        <v>5097837.201775287</v>
      </c>
      <c r="S81" s="46">
        <f>(SUM($AA$18:$AA$29)-SUM($AA$36,$AA$42,$AA$48,$AA$54,$AA$60,$AA$66,$AA$72:$AA$79))*Parameters!$B$37/12</f>
        <v>5097837.201775287</v>
      </c>
      <c r="T81" s="46">
        <f>(SUM($AA$18:$AA$29)-SUM($AA$36,$AA$42,$AA$48,$AA$54,$AA$60,$AA$66,$AA$72:$AA$79))*Parameters!$B$37/12</f>
        <v>5097837.201775287</v>
      </c>
      <c r="U81" s="46">
        <f>(SUM($AA$18:$AA$29)-SUM($AA$36,$AA$42,$AA$48,$AA$54,$AA$60,$AA$66,$AA$72:$AA$79))*Parameters!$B$37/12</f>
        <v>5097837.201775287</v>
      </c>
      <c r="V81" s="46">
        <f>(SUM($AA$18:$AA$29)-SUM($AA$36,$AA$42,$AA$48,$AA$54,$AA$60,$AA$66,$AA$72:$AA$79))*Parameters!$B$37/12</f>
        <v>5097837.201775287</v>
      </c>
      <c r="W81" s="46">
        <f>(SUM($AA$18:$AA$29)-SUM($AA$36,$AA$42,$AA$48,$AA$54,$AA$60,$AA$66,$AA$72:$AA$79))*Parameters!$B$37/12</f>
        <v>5097837.201775287</v>
      </c>
      <c r="X81" s="46">
        <f>(SUM($AA$18:$AA$29)-SUM($AA$36,$AA$42,$AA$48,$AA$54,$AA$60,$AA$66,$AA$72:$AA$79))*Parameters!$B$37/12</f>
        <v>5097837.201775287</v>
      </c>
      <c r="Y81" s="46">
        <f>(SUM($AA$18:$AA$29)-SUM($AA$36,$AA$42,$AA$48,$AA$54,$AA$60,$AA$66,$AA$72:$AA$79))*Parameters!$B$37/12</f>
        <v>5097837.201775287</v>
      </c>
      <c r="Z81" s="46">
        <f>SUMIF($B$13:$Y$13,"Yes",B81:Y81)</f>
        <v>66271883.62307875</v>
      </c>
      <c r="AA81" s="46">
        <f>SUM(B81:M81)</f>
        <v>61174046.42130346</v>
      </c>
      <c r="AB81" s="46">
        <f>SUM(B81:Y81)</f>
        <v>122348092.8426069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9514447.841604024</v>
      </c>
      <c r="C88" s="19">
        <f>SUM(C72:C82,C66,C60,C54,C48,C42,C36)</f>
        <v>9511735.841604024</v>
      </c>
      <c r="D88" s="19">
        <f>SUM(D72:D82,D66,D60,D54,D48,D42,D36)</f>
        <v>9510635.841604024</v>
      </c>
      <c r="E88" s="19">
        <f>SUM(E72:E82,E66,E60,E54,E48,E42,E36)</f>
        <v>9510235.841604024</v>
      </c>
      <c r="F88" s="19">
        <f>SUM(F72:F82,F66,F60,F54,F48,F42,F36)</f>
        <v>9509419.961592192</v>
      </c>
      <c r="G88" s="19">
        <f>SUM(G72:G82,G66,G60,G54,G48,G42,G36)</f>
        <v>9507484.564132599</v>
      </c>
      <c r="H88" s="19">
        <f>SUM(H72:H82,H66,H60,H54,H48,H42,H36)</f>
        <v>9514447.841604024</v>
      </c>
      <c r="I88" s="19">
        <f>SUM(I72:I82,I66,I60,I54,I48,I42,I36)</f>
        <v>9511735.841604024</v>
      </c>
      <c r="J88" s="19">
        <f>SUM(J72:J82,J66,J60,J54,J48,J42,J36)</f>
        <v>9510635.841604024</v>
      </c>
      <c r="K88" s="19">
        <f>SUM(K72:K82,K66,K60,K54,K48,K42,K36)</f>
        <v>9510235.841604024</v>
      </c>
      <c r="L88" s="19">
        <f>SUM(L72:L82,L66,L60,L54,L48,L42,L36)</f>
        <v>9509419.961592192</v>
      </c>
      <c r="M88" s="19">
        <f>SUM(M72:M82,M66,M60,M54,M48,M42,M36)</f>
        <v>9507484.564132599</v>
      </c>
      <c r="N88" s="19">
        <f>SUM(N72:N82,N66,N60,N54,N48,N42,N36)</f>
        <v>9514447.841604024</v>
      </c>
      <c r="O88" s="19">
        <f>SUM(O72:O82,O66,O60,O54,O48,O42,O36)</f>
        <v>9511735.841604024</v>
      </c>
      <c r="P88" s="19">
        <f>SUM(P72:P82,P66,P60,P54,P48,P42,P36)</f>
        <v>9510635.841604024</v>
      </c>
      <c r="Q88" s="19">
        <f>SUM(Q72:Q82,Q66,Q60,Q54,Q48,Q42,Q36)</f>
        <v>9510235.841604024</v>
      </c>
      <c r="R88" s="19">
        <f>SUM(R72:R82,R66,R60,R54,R48,R42,R36)</f>
        <v>9509419.961592192</v>
      </c>
      <c r="S88" s="19">
        <f>SUM(S72:S82,S66,S60,S54,S48,S42,S36)</f>
        <v>9507484.564132599</v>
      </c>
      <c r="T88" s="19">
        <f>SUM(T72:T82,T66,T60,T54,T48,T42,T36)</f>
        <v>9514447.841604024</v>
      </c>
      <c r="U88" s="19">
        <f>SUM(U72:U82,U66,U60,U54,U48,U42,U36)</f>
        <v>9511735.841604024</v>
      </c>
      <c r="V88" s="19">
        <f>SUM(V72:V82,V66,V60,V54,V48,V42,V36)</f>
        <v>9510635.841604024</v>
      </c>
      <c r="W88" s="19">
        <f>SUM(W72:W82,W66,W60,W54,W48,W42,W36)</f>
        <v>9510235.841604024</v>
      </c>
      <c r="X88" s="19">
        <f>SUM(X72:X82,X66,X60,X54,X48,X42,X36)</f>
        <v>9509419.961592192</v>
      </c>
      <c r="Y88" s="19">
        <f>SUM(Y72:Y82,Y66,Y60,Y54,Y48,Y42,Y36)</f>
        <v>9507484.564132599</v>
      </c>
      <c r="Z88" s="19">
        <f>SUMIF($B$13:$Y$13,"Yes",B88:Y88)</f>
        <v>123642367.6258858</v>
      </c>
      <c r="AA88" s="19">
        <f>SUM(B88:M88)</f>
        <v>114127919.7842818</v>
      </c>
      <c r="AB88" s="19">
        <f>SUM(B88:Y88)</f>
        <v>228255839.5685636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90900000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44000000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135980000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100</v>
      </c>
      <c r="N8" s="154">
        <v>0</v>
      </c>
    </row>
    <row r="9" spans="1:48">
      <c r="A9" s="143" t="s">
        <v>98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96</v>
      </c>
      <c r="J9" s="148" t="s">
        <v>97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200000</v>
      </c>
      <c r="D19" s="145">
        <v>150000</v>
      </c>
      <c r="E19" s="20"/>
      <c r="F19" s="145" t="s">
        <v>92</v>
      </c>
      <c r="G19" s="20"/>
      <c r="H19" s="20"/>
      <c r="I19" s="145" t="s">
        <v>113</v>
      </c>
      <c r="J19" s="145">
        <v>5</v>
      </c>
      <c r="K19" s="145">
        <v>5</v>
      </c>
      <c r="L19" s="25">
        <v>1</v>
      </c>
    </row>
    <row r="20" spans="1:48">
      <c r="A20" s="143" t="s">
        <v>114</v>
      </c>
      <c r="B20" s="16"/>
      <c r="C20" s="143">
        <v>50</v>
      </c>
      <c r="D20" s="147"/>
      <c r="E20" s="16"/>
      <c r="F20" s="147" t="s">
        <v>92</v>
      </c>
      <c r="G20" s="16"/>
      <c r="H20" s="16"/>
      <c r="I20" s="147" t="s">
        <v>115</v>
      </c>
      <c r="J20" s="147"/>
      <c r="K20" s="147"/>
      <c r="L20" s="30"/>
    </row>
    <row r="21" spans="1:48">
      <c r="A21" s="144" t="s">
        <v>114</v>
      </c>
      <c r="B21" s="23"/>
      <c r="C21" s="144">
        <v>25</v>
      </c>
      <c r="D21" s="150">
        <v>20</v>
      </c>
      <c r="E21" s="23"/>
      <c r="F21" s="150" t="s">
        <v>92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177000</v>
      </c>
    </row>
    <row r="31" spans="1:48">
      <c r="A31" s="5" t="s">
        <v>122</v>
      </c>
      <c r="B31" s="158">
        <v>77000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500000</v>
      </c>
    </row>
    <row r="46" spans="1:48" customHeight="1" ht="30">
      <c r="A46" s="57" t="s">
        <v>136</v>
      </c>
      <c r="B46" s="161">
        <v>50000</v>
      </c>
    </row>
    <row r="47" spans="1:48" customHeight="1" ht="30">
      <c r="A47" s="57" t="s">
        <v>137</v>
      </c>
      <c r="B47" s="161">
        <v>20000</v>
      </c>
    </row>
    <row r="48" spans="1:48" customHeight="1" ht="30">
      <c r="A48" s="57" t="s">
        <v>138</v>
      </c>
      <c r="B48" s="161">
        <v>500000</v>
      </c>
    </row>
    <row r="49" spans="1:48" customHeight="1" ht="30">
      <c r="A49" s="57" t="s">
        <v>139</v>
      </c>
      <c r="B49" s="161">
        <v>10000</v>
      </c>
    </row>
    <row r="50" spans="1:48">
      <c r="A50" s="43"/>
      <c r="B50" s="36"/>
    </row>
    <row r="51" spans="1:48">
      <c r="A51" s="58" t="s">
        <v>140</v>
      </c>
      <c r="B51" s="161">
        <v>2000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149</v>
      </c>
      <c r="C65" s="10" t="s">
        <v>150</v>
      </c>
    </row>
    <row r="66" spans="1:48">
      <c r="A66" s="142" t="s">
        <v>151</v>
      </c>
      <c r="B66" s="159">
        <v>150000</v>
      </c>
      <c r="C66" s="163">
        <v>148645</v>
      </c>
      <c r="D66" s="49">
        <f>INDEX(Parameters!$D$79:$D$90,MATCH(Inputs!A66,Parameters!$C$79:$C$90,0))</f>
        <v>9</v>
      </c>
    </row>
    <row r="67" spans="1:48">
      <c r="A67" s="143" t="s">
        <v>152</v>
      </c>
      <c r="B67" s="157">
        <v>145612</v>
      </c>
      <c r="C67" s="165">
        <v>140312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151465</v>
      </c>
      <c r="C68" s="165">
        <v>147985</v>
      </c>
      <c r="D68" s="49">
        <f>INDEX(Parameters!$D$79:$D$90,MATCH(Inputs!A68,Parameters!$C$79:$C$90,0))</f>
        <v>11</v>
      </c>
    </row>
    <row r="69" spans="1:48">
      <c r="A69" s="143" t="s">
        <v>154</v>
      </c>
      <c r="B69" s="157">
        <v>114356</v>
      </c>
      <c r="C69" s="165">
        <v>109458</v>
      </c>
      <c r="D69" s="49">
        <f>INDEX(Parameters!$D$79:$D$90,MATCH(Inputs!A69,Parameters!$C$79:$C$90,0))</f>
        <v>12</v>
      </c>
    </row>
    <row r="70" spans="1:48">
      <c r="A70" s="143" t="s">
        <v>155</v>
      </c>
      <c r="B70" s="157">
        <v>123450</v>
      </c>
      <c r="C70" s="165">
        <v>115645</v>
      </c>
      <c r="D70" s="49">
        <f>INDEX(Parameters!$D$79:$D$90,MATCH(Inputs!A70,Parameters!$C$79:$C$90,0))</f>
        <v>1</v>
      </c>
    </row>
    <row r="71" spans="1:48">
      <c r="A71" s="144" t="s">
        <v>156</v>
      </c>
      <c r="B71" s="158">
        <v>110312</v>
      </c>
      <c r="C71" s="167">
        <v>107865</v>
      </c>
      <c r="D71" s="49">
        <f>INDEX(Parameters!$D$79:$D$90,MATCH(Inputs!A71,Parameters!$C$79:$C$90,0))</f>
        <v>2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6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40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596.9340685804706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27787.2808924209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248.7225285751961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43252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43435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43160</v>
      </c>
      <c r="C6" s="39">
        <f>IFERROR(DATE(YEAR(B6),MONTH(B6)+ROUND(T6/2,0),DAY(B6)),B6)</f>
        <v>43221</v>
      </c>
      <c r="D6" s="39">
        <f>IFERROR(DATE(YEAR(B6),MONTH(B6)+T6,DAY(B6)),"")</f>
        <v>43282</v>
      </c>
      <c r="E6" s="39">
        <f>IFERROR(IF($S6=0,"",IF($S6=2,DATE(YEAR(B6),MONTH(B6)+6,DAY(B6)),IF($S6=1,B6,""))),"")</f>
        <v>43344</v>
      </c>
      <c r="F6" s="39">
        <f>IFERROR(IF($S6=0,"",IF($S6=2,DATE(YEAR(C6),MONTH(C6)+6,DAY(C6)),IF($S6=1,C6,""))),"")</f>
        <v>43405</v>
      </c>
      <c r="G6" s="39">
        <f>IFERROR(IF($S6=0,"",IF($S6=2,DATE(YEAR(D6),MONTH(D6)+6,DAY(D6)),IF($S6=1,D6,""))),"")</f>
        <v>43466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949.6173861601835</v>
      </c>
      <c r="M6" s="30">
        <f>L6*H6</f>
        <v>1899.234772320367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75779.46741558264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606.0000000000001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2184.119988168422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200000</v>
      </c>
      <c r="E14" s="16">
        <f>Inputs!D19</f>
        <v>150000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203357142.8571428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36500000</v>
      </c>
      <c r="R14" s="63">
        <f>IFERROR(D14*INDEX(Parameters!$A$22:$P$29,MATCH(Calculations!$A14,Parameters!$A$22:$A$29,0),MATCH(Parameters!$M$22,Parameters!$A$22:$P$22,0)),"")</f>
        <v>1706666.666666667</v>
      </c>
      <c r="S14" s="63">
        <f>IFERROR(D14*INDEX(Parameters!$A$22:$P$29,MATCH(Calculations!$A14,Parameters!$A$22:$A$29,0),MATCH(Parameters!$N$22,Parameters!$A$22:$P$22,0)),"")</f>
        <v>13721804.51127819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</v>
      </c>
      <c r="H15" s="121">
        <f>IFERROR(IF(B15="meat",INDEX(Parameters!$A$22:$P$29,MATCH(Calculations!A15,Parameters!$A$22:$A$29,0),MATCH(Parameters!$I$22,Parameters!$A$22:$P$22,0))*G15,""),"")</f>
        <v>30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187500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25</v>
      </c>
      <c r="E16" s="16">
        <f>Inputs!D21</f>
        <v>20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34.5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107812.5</v>
      </c>
      <c r="Q16" s="64">
        <f>IFERROR(D16*INDEX(Parameters!$A$22:$P$29,MATCH(Calculations!$A16,Parameters!$A$22:$A$29,0),MATCH(Parameters!$L$22,Parameters!$A$22:$P$22,0))*IF(Inputs!I21="Always",1,IF(Inputs!I21="Sometimes",0.5,0))*365,"")</f>
        <v>22812.5</v>
      </c>
      <c r="R16" s="64">
        <f>IFERROR(D16*INDEX(Parameters!$A$22:$P$29,MATCH(Calculations!$A16,Parameters!$A$22:$A$29,0),MATCH(Parameters!$M$22,Parameters!$A$22:$P$22,0)),"")</f>
        <v>5000</v>
      </c>
      <c r="S16" s="64">
        <f>IFERROR(D16*INDEX(Parameters!$A$22:$P$29,MATCH(Calculations!$A16,Parameters!$A$22:$A$29,0),MATCH(Parameters!$N$22,Parameters!$A$22:$P$22,0)),"")</f>
        <v>7500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32500000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43200</v>
      </c>
      <c r="C33" s="27">
        <f>IF(B33&lt;&gt;"",IF(COUNT($A$33:A33)&lt;=$G$39,0,$G$41)+IF(COUNT($A$33:A33)&lt;=$G$40,0,$G$42),0)</f>
        <v>11666.66666666667</v>
      </c>
      <c r="D33" s="170">
        <f>IFERROR(DATE(YEAR(B33),MONTH(B33),1)," ")</f>
        <v>43191</v>
      </c>
      <c r="F33" t="s">
        <v>162</v>
      </c>
      <c r="G33" s="128">
        <f>IF(Inputs!B79="","",DATE(YEAR(Inputs!B79),MONTH(Inputs!B79),DAY(Inputs!B79)))</f>
        <v>43160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43230</v>
      </c>
      <c r="C34" s="27">
        <f>IF(B34&lt;&gt;"",IF(COUNT($A$33:A34)&lt;=$G$39,0,$G$41)+IF(COUNT($A$33:A34)&lt;=$G$40,0,$G$42),0)</f>
        <v>11666.66666666667</v>
      </c>
      <c r="D34" s="170">
        <f>IFERROR(DATE(YEAR(B34),MONTH(B34),1)," ")</f>
        <v>43221</v>
      </c>
      <c r="F34" t="s">
        <v>163</v>
      </c>
      <c r="G34" s="128">
        <f>IF(Inputs!B80="","",DATE(YEAR(Inputs!B80),MONTH(Inputs!B80),DAY(Inputs!B80)))</f>
        <v>43200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43261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43252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43291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43282</v>
      </c>
      <c r="F36" t="s">
        <v>166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43322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43313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43353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43344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43383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43374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43414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43405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43444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43435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43475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43466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43506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43534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112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114</v>
      </c>
      <c r="B28" s="71" t="s">
        <v>296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100</v>
      </c>
      <c r="B41" s="191" t="s">
        <v>312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114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98</v>
      </c>
      <c r="E52" s="12" t="s">
        <v>98</v>
      </c>
      <c r="F52" s="12" t="s">
        <v>98</v>
      </c>
      <c r="G52" s="12" t="s">
        <v>314</v>
      </c>
      <c r="H52" s="12" t="s">
        <v>315</v>
      </c>
      <c r="I52" s="12" t="s">
        <v>133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115</v>
      </c>
      <c r="H77" s="12" t="s">
        <v>315</v>
      </c>
      <c r="I77" s="12" t="s">
        <v>350</v>
      </c>
      <c r="J77" s="136" t="s">
        <v>351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113</v>
      </c>
      <c r="H78" s="12" t="s">
        <v>133</v>
      </c>
      <c r="I78" s="12" t="s">
        <v>355</v>
      </c>
      <c r="J78" s="70" t="s">
        <v>356</v>
      </c>
      <c r="K78" s="12" t="s">
        <v>312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357</v>
      </c>
      <c r="F79" s="12" t="s">
        <v>96</v>
      </c>
      <c r="G79" s="12" t="s">
        <v>358</v>
      </c>
      <c r="I79" s="12" t="s">
        <v>168</v>
      </c>
      <c r="J79" s="70" t="s">
        <v>359</v>
      </c>
      <c r="K79" s="12" t="s">
        <v>312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97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