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<sst xmlns="http://schemas.openxmlformats.org/spreadsheetml/2006/main" uniqueCount="373">
  <si>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</si>
  <si>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</si>
  <si>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</si>
  <si>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</si>
  <si>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</si>
  <si>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</si>
  <si>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</si>
  <si>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</si>
  <si>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</si>
  <si>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</si>
  <si>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</si>
  <si>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</si>
  <si>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</si>
  <si>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</si>
  <si>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</si>
  <si>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</si>
  <si>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</si>
  <si>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</si>
  <si>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</si>
  <si>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</si>
  <si>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</si>
  <si>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</si>
  <si>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</si>
  <si>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</si>
  <si>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</si>
  <si>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</si>
  <si>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</si>
  <si>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</si>
  <si>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</si>
  <si>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</si>
  <si>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</si>
  <si>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</si>
  <si>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</si>
  <si>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</si>
  <si>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</si>
  <si>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</si>
  <si>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</si>
  <si>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</si>
  <si>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</si>
  <si>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</si>
  <si>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</si>
  <si>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</si>
  <si>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</si>
  <si>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</si>
  <si>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</si>
  <si>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</si>
  <si>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</si>
  <si>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</si>
  <si>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</si>
  <si>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</si>
  <si>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</si>
  <si>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</si>
  <si>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</si>
  <si>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</si>
  <si>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</si>
  <si>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</si>
  <si>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</si>
  <si>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</si>
  <si>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</si>
  <si>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</si>
  <si>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</si>
  <si>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</si>
  <si>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</si>
  <si>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</si>
  <si>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</si>
  <si>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</si>
  <si>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</si>
  <si>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</si>
  <si>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</si>
  <si>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</si>
  <si>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</si>
  <si>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</si>
  <si>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</si>
  <si>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</si>
  <si>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</si>
  <si>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</si>
  <si>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</si>
  <si>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</si>
  <si>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</si>
  <si>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</si>
  <si>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</si>
  <si>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</si>
  <si>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</si>
  <si>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</si>
  <si>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</si>
  <si>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</si>
  <si>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</si>
  <si>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</si>
  <si>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</si>
  <si>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Coffee</t>
  </si>
  <si>
    <t>NGO</t>
  </si>
  <si>
    <t>No</t>
  </si>
  <si>
    <t>no planting_trees are mature</t>
  </si>
  <si>
    <t>Other crops</t>
  </si>
  <si>
    <t>Home recycled</t>
  </si>
  <si>
    <t>Bananas</t>
  </si>
  <si>
    <t>Other farmers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</si>
  <si>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</si>
  <si>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</si>
  <si>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</si>
  <si>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</si>
  <si>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</si>
  <si>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</si>
  <si>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</si>
  <si>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</si>
  <si>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</si>
  <si>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</si>
  <si>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</si>
  <si>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</si>
  <si>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</si>
  <si>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Pigs</t>
  </si>
  <si>
    <t>Yes</t>
  </si>
  <si>
    <t>Sometimes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</si>
  <si>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</si>
  <si>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</si>
  <si>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</si>
  <si>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</si>
  <si>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</si>
  <si>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</si>
  <si>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Bar and sales of MACADAMIA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</si>
  <si>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</si>
  <si>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</si>
  <si>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</si>
  <si>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</si>
  <si>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</si>
  <si>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</si>
  <si>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</si>
  <si>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</si>
  <si>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</si>
  <si>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</si>
  <si>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</si>
  <si>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</si>
  <si>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</si>
  <si>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</si>
  <si>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</si>
  <si>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</si>
  <si>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</si>
  <si>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</si>
  <si>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</si>
  <si>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</si>
  <si>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</si>
  <si>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</si>
  <si>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</si>
  <si>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</si>
  <si>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</si>
  <si>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</si>
  <si>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</si>
  <si>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10/4/2016</t>
  </si>
  <si>
    <t>Equity bank</t>
  </si>
  <si>
    <t>cleared</t>
  </si>
  <si>
    <t>10/6/2016</t>
  </si>
  <si>
    <t>Equity Bank</t>
  </si>
  <si>
    <t>Cleared</t>
  </si>
  <si>
    <t>10/11/2017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</si>
  <si>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</si>
  <si>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</si>
  <si>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</si>
  <si>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</si>
  <si>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</si>
  <si>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</si>
  <si>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</si>
  <si>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</si>
  <si>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</si>
  <si>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</si>
  <si>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</si>
  <si>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</si>
  <si>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2018/3/1</t>
  </si>
  <si>
    <t>Loan terms</t>
  </si>
  <si>
    <t>Expected disbursement date</t>
  </si>
  <si>
    <t>Expected first repayment date</t>
  </si>
  <si>
    <t>2018/4/9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</si>
  <si>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</si>
  <si>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</si>
  <si>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</si>
  <si>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</si>
  <si>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</si>
  <si>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</si>
  <si>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</si>
  <si>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</si>
  <si>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</si>
  <si>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</si>
  <si>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</si>
  <si>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</si>
  <si>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</si>
  <si>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</si>
  <si>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</si>
  <si>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</si>
  <si>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</si>
  <si>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</si>
  <si>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</si>
  <si>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</si>
  <si>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</si>
  <si>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</si>
  <si>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</si>
  <si>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</si>
  <si>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</si>
  <si>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</si>
  <si>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</si>
  <si>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</si>
  <si>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</si>
  <si>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</si>
  <si>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</si>
  <si>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</si>
  <si>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</si>
  <si>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</si>
  <si>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</si>
  <si>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</si>
  <si>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</si>
  <si>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</si>
  <si>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</si>
  <si>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</si>
  <si>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</si>
  <si>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</si>
  <si>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</si>
  <si>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</si>
  <si>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</si>
  <si>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</si>
  <si>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</si>
  <si>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</si>
  <si>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</si>
  <si>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</si>
  <si>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</si>
  <si>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</si>
  <si>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</si>
  <si>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</si>
  <si>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</si>
  <si>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</si>
  <si>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</si>
  <si>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</si>
  <si>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</si>
  <si>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</si>
  <si>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</si>
  <si>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</si>
  <si>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</si>
  <si>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</si>
  <si>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</si>
  <si>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</si>
  <si>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</si>
  <si>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</si>
  <si>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</si>
  <si>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</si>
  <si>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</si>
  <si>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</si>
  <si>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</si>
  <si>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</si>
  <si>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</si>
  <si>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</si>
  <si>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</si>
  <si>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</si>
  <si>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</si>
  <si>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</si>
  <si>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</si>
  <si>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</si>
  <si>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</si>
  <si>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</si>
  <si>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</si>
  <si>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</si>
  <si>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</si>
  <si>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</si>
  <si>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</si>
  <si>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</si>
  <si>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</si>
  <si>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</si>
  <si>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</si>
  <si>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</si>
  <si>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</si>
  <si>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</si>
  <si>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</si>
  <si>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</si>
  <si>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</si>
  <si>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</si>
  <si>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</si>
  <si>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</si>
  <si>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</si>
  <si>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</si>
  <si>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</si>
  <si>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</si>
  <si>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</si>
  <si>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</si>
  <si>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</si>
  <si>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</si>
  <si>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</si>
  <si>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</si>
  <si>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</si>
  <si>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</si>
  <si>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</si>
  <si>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</si>
  <si>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</si>
  <si>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</si>
  <si>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</si>
  <si>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</si>
  <si>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</si>
  <si>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</si>
  <si>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</si>
  <si>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</si>
  <si>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</si>
  <si>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</si>
  <si>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</si>
  <si>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</si>
  <si>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</si>
  <si>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</si>
  <si>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</si>
  <si>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</si>
  <si>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</si>
  <si>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</si>
  <si>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</si>
  <si>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</si>
  <si>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</si>
  <si>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</si>
  <si>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</si>
  <si>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</si>
  <si>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</si>
  <si>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</si>
  <si>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</si>
  <si>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</si>
  <si>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</si>
  <si>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</si>
  <si>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</si>
  <si>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</si>
  <si>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</si>
  <si>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</si>
  <si>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</si>
  <si>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</si>
  <si>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</si>
  <si>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</si>
  <si>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</si>
  <si>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</si>
  <si>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</si>
  <si>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</si>
  <si>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</si>
  <si>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</si>
  <si>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</si>
  <si>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</si>
  <si>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</si>
  <si>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</si>
  <si>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</si>
  <si>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</si>
  <si>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</si>
  <si>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</si>
  <si>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</si>
  <si>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</si>
  <si>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</si>
  <si>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</si>
  <si>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</si>
  <si>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</si>
  <si>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</si>
  <si>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</si>
  <si>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</si>
  <si>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</si>
  <si>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</si>
  <si>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</si>
  <si>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</si>
  <si>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</si>
  <si>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</si>
  <si>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</si>
  <si>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</si>
  <si>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</si>
  <si>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</si>
  <si>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</si>
  <si>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</si>
  <si>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</si>
  <si>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</si>
  <si>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</si>
  <si>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</si>
  <si>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</si>
  <si>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</si>
  <si>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</si>
  <si>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March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</si>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</sst>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Coffee, 0, Bananas,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Pigs, Cows_dairy, Cows_dairy, Chicken: sale of ex layers</v>
      </c>
    </row>
    <row r="8" spans="1:7">
      <c r="B8" s="1" t="s">
        <v>4</v>
      </c>
      <c r="C8" t="str">
        <f>IF(Inputs!B29="","None",Inputs!B29)</f>
        <v>Bar and sales of MACADAMIA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0.15612717236555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0.004484304932735426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1231134.855379906</v>
      </c>
    </row>
    <row r="18" spans="1:7">
      <c r="B18" s="1" t="s">
        <v>12</v>
      </c>
      <c r="C18" s="36">
        <f>MIN(Output!B6:M6)</f>
        <v>92224.36930739151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106951.0522438313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53333.33333333334</v>
      </c>
    </row>
    <row r="25" spans="1:7">
      <c r="B25" s="1" t="s">
        <v>18</v>
      </c>
      <c r="C25" s="36">
        <f>MAX(Inputs!A56:A60)</f>
        <v>70000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93979.39516892195</v>
      </c>
      <c r="C6" s="51">
        <f>C30-C88</f>
        <v>92224.36930739151</v>
      </c>
      <c r="D6" s="51">
        <f>D30-D88</f>
        <v>92901.77587829348</v>
      </c>
      <c r="E6" s="51">
        <f>E30-E88</f>
        <v>106951.0522438313</v>
      </c>
      <c r="F6" s="51">
        <f>F30-F88</f>
        <v>106951.0522438313</v>
      </c>
      <c r="G6" s="51">
        <f>G30-G88</f>
        <v>104318.5134515356</v>
      </c>
      <c r="H6" s="51">
        <f>H30-H88</f>
        <v>102563.4875900052</v>
      </c>
      <c r="I6" s="51">
        <f>I30-I88</f>
        <v>104318.5134515356</v>
      </c>
      <c r="J6" s="51">
        <f>J30-J88</f>
        <v>106073.5393130661</v>
      </c>
      <c r="K6" s="51">
        <f>K30-K88</f>
        <v>106951.0522438313</v>
      </c>
      <c r="L6" s="51">
        <f>L30-L88</f>
        <v>106951.0522438313</v>
      </c>
      <c r="M6" s="51">
        <f>M30-M88</f>
        <v>106951.0522438313</v>
      </c>
      <c r="N6" s="51">
        <f>N30-N88</f>
        <v>106073.5393130661</v>
      </c>
      <c r="O6" s="51">
        <f>O30-O88</f>
        <v>104318.5134515356</v>
      </c>
      <c r="P6" s="51">
        <f>P30-P88</f>
        <v>102563.4875900052</v>
      </c>
      <c r="Q6" s="51">
        <f>Q30-Q88</f>
        <v>106951.0522438313</v>
      </c>
      <c r="R6" s="51">
        <f>R30-R88</f>
        <v>106951.0522438313</v>
      </c>
      <c r="S6" s="51">
        <f>S30-S88</f>
        <v>104318.5134515356</v>
      </c>
      <c r="T6" s="51">
        <f>T30-T88</f>
        <v>102563.4875900052</v>
      </c>
      <c r="U6" s="51">
        <f>U30-U88</f>
        <v>104318.5134515356</v>
      </c>
      <c r="V6" s="51">
        <f>V30-V88</f>
        <v>106073.5393130661</v>
      </c>
      <c r="W6" s="51">
        <f>W30-W88</f>
        <v>106951.0522438313</v>
      </c>
      <c r="X6" s="51">
        <f>X30-X88</f>
        <v>106951.0522438313</v>
      </c>
      <c r="Y6" s="51">
        <f>Y30-Y88</f>
        <v>106951.0522438313</v>
      </c>
      <c r="Z6" s="51">
        <f>SUMIF($B$13:$Y$13,"Yes",B6:Y6)</f>
        <v>1337208.394692972</v>
      </c>
      <c r="AA6" s="51">
        <f>AA30-AA88</f>
        <v>1231134.855379906</v>
      </c>
      <c r="AB6" s="51">
        <f>AB30-AB88</f>
        <v>2496119.710759814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22090</v>
      </c>
      <c r="I7" s="80">
        <f>IF(ISERROR(VLOOKUP(MONTH(I5),Inputs!$D$66:$D$71,1,0)),"",INDEX(Inputs!$B$66:$B$71,MATCH(MONTH(Output!I5),Inputs!$D$66:$D$71,0))-INDEX(Inputs!$C$66:$C$71,MATCH(MONTH(Output!I5),Inputs!$D$66:$D$71,0)))</f>
        <v>20290</v>
      </c>
      <c r="J7" s="80">
        <f>IF(ISERROR(VLOOKUP(MONTH(J5),Inputs!$D$66:$D$71,1,0)),"",INDEX(Inputs!$B$66:$B$71,MATCH(MONTH(Output!J5),Inputs!$D$66:$D$71,0))-INDEX(Inputs!$C$66:$C$71,MATCH(MONTH(Output!J5),Inputs!$D$66:$D$71,0)))</f>
        <v>20150</v>
      </c>
      <c r="K7" s="80">
        <f>IF(ISERROR(VLOOKUP(MONTH(K5),Inputs!$D$66:$D$71,1,0)),"",INDEX(Inputs!$B$66:$B$71,MATCH(MONTH(Output!K5),Inputs!$D$66:$D$71,0))-INDEX(Inputs!$C$66:$C$71,MATCH(MONTH(Output!K5),Inputs!$D$66:$D$71,0)))</f>
        <v>28005</v>
      </c>
      <c r="L7" s="80">
        <f>IF(ISERROR(VLOOKUP(MONTH(L5),Inputs!$D$66:$D$71,1,0)),"",INDEX(Inputs!$B$66:$B$71,MATCH(MONTH(Output!L5),Inputs!$D$66:$D$71,0))-INDEX(Inputs!$C$66:$C$71,MATCH(MONTH(Output!L5),Inputs!$D$66:$D$71,0)))</f>
        <v>27000</v>
      </c>
      <c r="M7" s="80">
        <f>IF(ISERROR(VLOOKUP(MONTH(M5),Inputs!$D$66:$D$71,1,0)),"",INDEX(Inputs!$B$66:$B$71,MATCH(MONTH(Output!M5),Inputs!$D$66:$D$71,0))-INDEX(Inputs!$C$66:$C$71,MATCH(MONTH(Output!M5),Inputs!$D$66:$D$71,0)))</f>
        <v>-779051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22090</v>
      </c>
      <c r="U7" s="80">
        <f>IF(ISERROR(VLOOKUP(MONTH(U5),Inputs!$D$66:$D$71,1,0)),"",INDEX(Inputs!$B$66:$B$71,MATCH(MONTH(Output!U5),Inputs!$D$66:$D$71,0))-INDEX(Inputs!$C$66:$C$71,MATCH(MONTH(Output!U5),Inputs!$D$66:$D$71,0)))</f>
        <v>20290</v>
      </c>
      <c r="V7" s="80">
        <f>IF(ISERROR(VLOOKUP(MONTH(V5),Inputs!$D$66:$D$71,1,0)),"",INDEX(Inputs!$B$66:$B$71,MATCH(MONTH(Output!V5),Inputs!$D$66:$D$71,0))-INDEX(Inputs!$C$66:$C$71,MATCH(MONTH(Output!V5),Inputs!$D$66:$D$71,0)))</f>
        <v>20150</v>
      </c>
      <c r="W7" s="80">
        <f>IF(ISERROR(VLOOKUP(MONTH(W5),Inputs!$D$66:$D$71,1,0)),"",INDEX(Inputs!$B$66:$B$71,MATCH(MONTH(Output!W5),Inputs!$D$66:$D$71,0))-INDEX(Inputs!$C$66:$C$71,MATCH(MONTH(Output!W5),Inputs!$D$66:$D$71,0)))</f>
        <v>28005</v>
      </c>
      <c r="X7" s="80">
        <f>IF(ISERROR(VLOOKUP(MONTH(X5),Inputs!$D$66:$D$71,1,0)),"",INDEX(Inputs!$B$66:$B$71,MATCH(MONTH(Output!X5),Inputs!$D$66:$D$71,0))-INDEX(Inputs!$C$66:$C$71,MATCH(MONTH(Output!X5),Inputs!$D$66:$D$71,0)))</f>
        <v>27000</v>
      </c>
      <c r="Y7" s="80">
        <f>IF(ISERROR(VLOOKUP(MONTH(Y5),Inputs!$D$66:$D$71,1,0)),"",INDEX(Inputs!$B$66:$B$71,MATCH(MONTH(Output!Y5),Inputs!$D$66:$D$71,0))-INDEX(Inputs!$C$66:$C$71,MATCH(MONTH(Output!Y5),Inputs!$D$66:$D$71,0)))</f>
        <v>-779051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293979.395168922</v>
      </c>
      <c r="C11" s="80">
        <f>C6+C9-C10</f>
        <v>72224.36930739151</v>
      </c>
      <c r="D11" s="80">
        <f>D6+D9-D10</f>
        <v>72901.77587829348</v>
      </c>
      <c r="E11" s="80">
        <f>E6+E9-E10</f>
        <v>86951.05224383132</v>
      </c>
      <c r="F11" s="80">
        <f>F6+F9-F10</f>
        <v>86951.05224383132</v>
      </c>
      <c r="G11" s="80">
        <f>G6+G9-G10</f>
        <v>84318.51345153565</v>
      </c>
      <c r="H11" s="80">
        <f>H6+H9-H10</f>
        <v>82563.4875900052</v>
      </c>
      <c r="I11" s="80">
        <f>I6+I9-I10</f>
        <v>84318.51345153565</v>
      </c>
      <c r="J11" s="80">
        <f>J6+J9-J10</f>
        <v>86073.5393130661</v>
      </c>
      <c r="K11" s="80">
        <f>K6+K9-K10</f>
        <v>86951.05224383132</v>
      </c>
      <c r="L11" s="80">
        <f>L6+L9-L10</f>
        <v>86951.05224383132</v>
      </c>
      <c r="M11" s="80">
        <f>M6+M9-M10</f>
        <v>86951.05224383132</v>
      </c>
      <c r="N11" s="80">
        <f>N6+N9-N10</f>
        <v>86073.5393130661</v>
      </c>
      <c r="O11" s="80">
        <f>O6+O9-O10</f>
        <v>104318.5134515356</v>
      </c>
      <c r="P11" s="80">
        <f>P6+P9-P10</f>
        <v>102563.4875900052</v>
      </c>
      <c r="Q11" s="80">
        <f>Q6+Q9-Q10</f>
        <v>106951.0522438313</v>
      </c>
      <c r="R11" s="80">
        <f>R6+R9-R10</f>
        <v>106951.0522438313</v>
      </c>
      <c r="S11" s="80">
        <f>S6+S9-S10</f>
        <v>104318.5134515356</v>
      </c>
      <c r="T11" s="80">
        <f>T6+T9-T10</f>
        <v>102563.4875900052</v>
      </c>
      <c r="U11" s="80">
        <f>U6+U9-U10</f>
        <v>104318.5134515356</v>
      </c>
      <c r="V11" s="80">
        <f>V6+V9-V10</f>
        <v>106073.5393130661</v>
      </c>
      <c r="W11" s="80">
        <f>W6+W9-W10</f>
        <v>106951.0522438313</v>
      </c>
      <c r="X11" s="80">
        <f>X6+X9-X10</f>
        <v>106951.0522438313</v>
      </c>
      <c r="Y11" s="80">
        <f>Y6+Y9-Y10</f>
        <v>106951.0522438313</v>
      </c>
      <c r="Z11" s="85">
        <f>SUMIF($B$13:$Y$13,"Yes",B11:Y11)</f>
        <v>1297208.394692972</v>
      </c>
      <c r="AA11" s="80">
        <f>SUM(B11:M11)</f>
        <v>1211134.855379906</v>
      </c>
      <c r="AB11" s="46">
        <f>SUM(B11:Y11)</f>
        <v>2456119.710759812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0.05178613426287985</v>
      </c>
      <c r="D12" s="82">
        <f>IF(D13="Yes",IF(SUM($B$10:D10)/(SUM($B$6:D6)+SUM($B$9:D9))&lt;0,999.99,SUM($B$10:D10)/(SUM($B$6:D6)+SUM($B$9:D9))),"")</f>
        <v>0.08348891137930539</v>
      </c>
      <c r="E12" s="82">
        <f>IF(E13="Yes",IF(SUM($B$10:E10)/(SUM($B$6:E6)+SUM($B$9:E9))&lt;0,999.99,SUM($B$10:E10)/(SUM($B$6:E6)+SUM($B$9:E9))),"")</f>
        <v>0.1023791912893156</v>
      </c>
      <c r="F12" s="82">
        <f>IF(F13="Yes",IF(SUM($B$10:F10)/(SUM($B$6:F6)+SUM($B$9:F9))&lt;0,999.99,SUM($B$10:F10)/(SUM($B$6:F6)+SUM($B$9:F9))),"")</f>
        <v>0.1154388419744031</v>
      </c>
      <c r="G12" s="82">
        <f>IF(G13="Yes",IF(SUM($B$10:G10)/(SUM($B$6:G6)+SUM($B$9:G9))&lt;0,999.99,SUM($B$10:G10)/(SUM($B$6:G6)+SUM($B$9:G9))),"")</f>
        <v>0.1254191888222877</v>
      </c>
      <c r="H12" s="82">
        <f>IF(H13="Yes",IF(SUM($B$10:H10)/(SUM($B$6:H6)+SUM($B$9:H9))&lt;0,999.99,SUM($B$10:H10)/(SUM($B$6:H6)+SUM($B$9:H9))),"")</f>
        <v>0.1333496840961473</v>
      </c>
      <c r="I12" s="82">
        <f>IF(I13="Yes",IF(SUM($B$10:I10)/(SUM($B$6:I6)+SUM($B$9:I9))&lt;0,999.99,SUM($B$10:I10)/(SUM($B$6:I6)+SUM($B$9:I9))),"")</f>
        <v>0.1394133265085813</v>
      </c>
      <c r="J12" s="82">
        <f>IF(J13="Yes",IF(SUM($B$10:J10)/(SUM($B$6:J6)+SUM($B$9:J9))&lt;0,999.99,SUM($B$10:J10)/(SUM($B$6:J6)+SUM($B$9:J9))),"")</f>
        <v>0.144107572154683</v>
      </c>
      <c r="K12" s="82">
        <f>IF(K13="Yes",IF(SUM($B$10:K10)/(SUM($B$6:K6)+SUM($B$9:K9))&lt;0,999.99,SUM($B$10:K10)/(SUM($B$6:K6)+SUM($B$9:K9))),"")</f>
        <v>0.1478764023298406</v>
      </c>
      <c r="L12" s="82">
        <f>IF(L13="Yes",IF(SUM($B$10:L10)/(SUM($B$6:L6)+SUM($B$9:L9))&lt;0,999.99,SUM($B$10:L10)/(SUM($B$6:L6)+SUM($B$9:L9))),"")</f>
        <v>0.1510364343124712</v>
      </c>
      <c r="M12" s="82">
        <f>IF(M13="Yes",IF(SUM($B$10:M10)/(SUM($B$6:M6)+SUM($B$9:M9))&lt;0,999.99,SUM($B$10:M10)/(SUM($B$6:M6)+SUM($B$9:M9))),"")</f>
        <v>0.1537241575613776</v>
      </c>
      <c r="N12" s="82">
        <f>IF(N13="Yes",IF(SUM($B$10:N10)/(SUM($B$6:N6)+SUM($B$9:N9))&lt;0,999.99,SUM($B$10:N10)/(SUM($B$6:N6)+SUM($B$9:N9))),"")</f>
        <v>0.15612717236555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Coffee</v>
      </c>
      <c r="B18" s="36">
        <f>N18</f>
        <v>3510.051723060897</v>
      </c>
      <c r="C18" s="36">
        <f>O18</f>
        <v>1755.025861530448</v>
      </c>
      <c r="D18" s="36">
        <f>P18</f>
        <v>0</v>
      </c>
      <c r="E18" s="36">
        <f>Q18</f>
        <v>4387.564653826122</v>
      </c>
      <c r="F18" s="36">
        <f>R18</f>
        <v>4387.564653826122</v>
      </c>
      <c r="G18" s="36">
        <f>S18</f>
        <v>1755.025861530448</v>
      </c>
      <c r="H18" s="36">
        <f>T18</f>
        <v>0</v>
      </c>
      <c r="I18" s="36">
        <f>U18</f>
        <v>1755.025861530448</v>
      </c>
      <c r="J18" s="36">
        <f>V18</f>
        <v>3510.051723060897</v>
      </c>
      <c r="K18" s="36">
        <f>W18</f>
        <v>4387.564653826122</v>
      </c>
      <c r="L18" s="36">
        <f>X18</f>
        <v>4387.564653826122</v>
      </c>
      <c r="M18" s="36">
        <f>Y18</f>
        <v>4387.564653826122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3510.051723060897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1755.025861530448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4387.564653826122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4387.564653826122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1755.025861530448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1755.025861530448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3510.051723060897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4387.564653826122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4387.564653826122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4387.564653826122</v>
      </c>
      <c r="Z18" s="36">
        <f>SUMIF($B$13:$Y$13,"Yes",B18:Y18)</f>
        <v>37733.05602290464</v>
      </c>
      <c r="AA18" s="36">
        <f>SUM(B18:M18)</f>
        <v>34223.00429984374</v>
      </c>
      <c r="AB18" s="36">
        <f>SUM(B18:Y18)</f>
        <v>68446.00859968748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Bananas</v>
      </c>
      <c r="B20" s="36">
        <f>N20</f>
        <v>23134.174</v>
      </c>
      <c r="C20" s="36">
        <f>O20</f>
        <v>23134.174</v>
      </c>
      <c r="D20" s="36">
        <f>P20</f>
        <v>23134.174</v>
      </c>
      <c r="E20" s="36">
        <f>Q20</f>
        <v>23134.174</v>
      </c>
      <c r="F20" s="36">
        <f>R20</f>
        <v>23134.174</v>
      </c>
      <c r="G20" s="36">
        <f>S20</f>
        <v>23134.174</v>
      </c>
      <c r="H20" s="36">
        <f>T20</f>
        <v>23134.174</v>
      </c>
      <c r="I20" s="36">
        <f>U20</f>
        <v>23134.174</v>
      </c>
      <c r="J20" s="36">
        <f>V20</f>
        <v>23134.174</v>
      </c>
      <c r="K20" s="36">
        <f>W20</f>
        <v>23134.174</v>
      </c>
      <c r="L20" s="36">
        <f>X20</f>
        <v>23134.174</v>
      </c>
      <c r="M20" s="36">
        <f>Y20</f>
        <v>23134.174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23134.174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23134.174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23134.174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23134.174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23134.174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23134.174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23134.174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23134.174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23134.174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23134.174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23134.174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23134.174</v>
      </c>
      <c r="Z20" s="36">
        <f>SUMIF($B$13:$Y$13,"Yes",B20:Y20)</f>
        <v>300744.262</v>
      </c>
      <c r="AA20" s="36">
        <f>SUM(B20:M20)</f>
        <v>277610.088</v>
      </c>
      <c r="AB20" s="36">
        <f>SUM(B20:Y20)</f>
        <v>555220.176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136000</v>
      </c>
    </row>
    <row r="24" spans="1:30">
      <c r="A24" s="43" t="str">
        <f>IF(Inputs!A19="","",IF(Inputs!A19=Parameters!$A$30,Inputs!B19,Inputs!A19))</f>
        <v>Pigs</v>
      </c>
      <c r="B24" s="36">
        <f>IFERROR(Calculations!$P14/12,"")</f>
        <v>33000</v>
      </c>
      <c r="C24" s="36">
        <f>IFERROR(Calculations!$P14/12,"")</f>
        <v>33000</v>
      </c>
      <c r="D24" s="36">
        <f>IFERROR(Calculations!$P14/12,"")</f>
        <v>33000</v>
      </c>
      <c r="E24" s="36">
        <f>IFERROR(Calculations!$P14/12,"")</f>
        <v>33000</v>
      </c>
      <c r="F24" s="36">
        <f>IFERROR(Calculations!$P14/12,"")</f>
        <v>33000</v>
      </c>
      <c r="G24" s="36">
        <f>IFERROR(Calculations!$P14/12,"")</f>
        <v>33000</v>
      </c>
      <c r="H24" s="36">
        <f>IFERROR(Calculations!$P14/12,"")</f>
        <v>33000</v>
      </c>
      <c r="I24" s="36">
        <f>IFERROR(Calculations!$P14/12,"")</f>
        <v>33000</v>
      </c>
      <c r="J24" s="36">
        <f>IFERROR(Calculations!$P14/12,"")</f>
        <v>33000</v>
      </c>
      <c r="K24" s="36">
        <f>IFERROR(Calculations!$P14/12,"")</f>
        <v>33000</v>
      </c>
      <c r="L24" s="36">
        <f>IFERROR(Calculations!$P14/12,"")</f>
        <v>33000</v>
      </c>
      <c r="M24" s="36">
        <f>IFERROR(Calculations!$P14/12,"")</f>
        <v>33000</v>
      </c>
      <c r="N24" s="36">
        <f>IFERROR(Calculations!$P14/12,"")</f>
        <v>33000</v>
      </c>
      <c r="O24" s="36">
        <f>IFERROR(Calculations!$P14/12,"")</f>
        <v>33000</v>
      </c>
      <c r="P24" s="36">
        <f>IFERROR(Calculations!$P14/12,"")</f>
        <v>33000</v>
      </c>
      <c r="Q24" s="36">
        <f>IFERROR(Calculations!$P14/12,"")</f>
        <v>33000</v>
      </c>
      <c r="R24" s="36">
        <f>IFERROR(Calculations!$P14/12,"")</f>
        <v>33000</v>
      </c>
      <c r="S24" s="36">
        <f>IFERROR(Calculations!$P14/12,"")</f>
        <v>33000</v>
      </c>
      <c r="T24" s="36">
        <f>IFERROR(Calculations!$P14/12,"")</f>
        <v>33000</v>
      </c>
      <c r="U24" s="36">
        <f>IFERROR(Calculations!$P14/12,"")</f>
        <v>33000</v>
      </c>
      <c r="V24" s="36">
        <f>IFERROR(Calculations!$P14/12,"")</f>
        <v>33000</v>
      </c>
      <c r="W24" s="36">
        <f>IFERROR(Calculations!$P14/12,"")</f>
        <v>33000</v>
      </c>
      <c r="X24" s="36">
        <f>IFERROR(Calculations!$P14/12,"")</f>
        <v>33000</v>
      </c>
      <c r="Y24" s="36">
        <f>IFERROR(Calculations!$P14/12,"")</f>
        <v>33000</v>
      </c>
      <c r="Z24" s="36">
        <f>SUMIF($B$13:$Y$13,"Yes",B24:Y24)</f>
        <v>429000</v>
      </c>
      <c r="AA24" s="36">
        <f>SUM(B24:M24)</f>
        <v>396000</v>
      </c>
      <c r="AB24" s="46">
        <f>SUM(B24:Y24)</f>
        <v>792000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15968.75</v>
      </c>
      <c r="C25" s="36">
        <f>IFERROR(Calculations!$P15/12,"")</f>
        <v>15968.75</v>
      </c>
      <c r="D25" s="36">
        <f>IFERROR(Calculations!$P15/12,"")</f>
        <v>15968.75</v>
      </c>
      <c r="E25" s="36">
        <f>IFERROR(Calculations!$P15/12,"")</f>
        <v>15968.75</v>
      </c>
      <c r="F25" s="36">
        <f>IFERROR(Calculations!$P15/12,"")</f>
        <v>15968.75</v>
      </c>
      <c r="G25" s="36">
        <f>IFERROR(Calculations!$P15/12,"")</f>
        <v>15968.75</v>
      </c>
      <c r="H25" s="36">
        <f>IFERROR(Calculations!$P15/12,"")</f>
        <v>15968.75</v>
      </c>
      <c r="I25" s="36">
        <f>IFERROR(Calculations!$P15/12,"")</f>
        <v>15968.75</v>
      </c>
      <c r="J25" s="36">
        <f>IFERROR(Calculations!$P15/12,"")</f>
        <v>15968.75</v>
      </c>
      <c r="K25" s="36">
        <f>IFERROR(Calculations!$P15/12,"")</f>
        <v>15968.75</v>
      </c>
      <c r="L25" s="36">
        <f>IFERROR(Calculations!$P15/12,"")</f>
        <v>15968.75</v>
      </c>
      <c r="M25" s="36">
        <f>IFERROR(Calculations!$P15/12,"")</f>
        <v>15968.75</v>
      </c>
      <c r="N25" s="36">
        <f>IFERROR(Calculations!$P15/12,"")</f>
        <v>15968.75</v>
      </c>
      <c r="O25" s="36">
        <f>IFERROR(Calculations!$P15/12,"")</f>
        <v>15968.75</v>
      </c>
      <c r="P25" s="36">
        <f>IFERROR(Calculations!$P15/12,"")</f>
        <v>15968.75</v>
      </c>
      <c r="Q25" s="36">
        <f>IFERROR(Calculations!$P15/12,"")</f>
        <v>15968.75</v>
      </c>
      <c r="R25" s="36">
        <f>IFERROR(Calculations!$P15/12,"")</f>
        <v>15968.75</v>
      </c>
      <c r="S25" s="36">
        <f>IFERROR(Calculations!$P15/12,"")</f>
        <v>15968.75</v>
      </c>
      <c r="T25" s="36">
        <f>IFERROR(Calculations!$P15/12,"")</f>
        <v>15968.75</v>
      </c>
      <c r="U25" s="36">
        <f>IFERROR(Calculations!$P15/12,"")</f>
        <v>15968.75</v>
      </c>
      <c r="V25" s="36">
        <f>IFERROR(Calculations!$P15/12,"")</f>
        <v>15968.75</v>
      </c>
      <c r="W25" s="36">
        <f>IFERROR(Calculations!$P15/12,"")</f>
        <v>15968.75</v>
      </c>
      <c r="X25" s="36">
        <f>IFERROR(Calculations!$P15/12,"")</f>
        <v>15968.75</v>
      </c>
      <c r="Y25" s="36">
        <f>IFERROR(Calculations!$P15/12,"")</f>
        <v>15968.75</v>
      </c>
      <c r="Z25" s="36">
        <f>SUMIF($B$13:$Y$13,"Yes",B25:Y25)</f>
        <v>207593.75</v>
      </c>
      <c r="AA25" s="36">
        <f>SUM(B25:M25)</f>
        <v>191625</v>
      </c>
      <c r="AB25" s="46">
        <f>SUM(B25:Y25)</f>
        <v>383249.9999999999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34675</v>
      </c>
      <c r="C26" s="36">
        <f>IFERROR(Calculations!$P16/12,"")</f>
        <v>34675</v>
      </c>
      <c r="D26" s="36">
        <f>IFERROR(Calculations!$P16/12,"")</f>
        <v>34675</v>
      </c>
      <c r="E26" s="36">
        <f>IFERROR(Calculations!$P16/12,"")</f>
        <v>34675</v>
      </c>
      <c r="F26" s="36">
        <f>IFERROR(Calculations!$P16/12,"")</f>
        <v>34675</v>
      </c>
      <c r="G26" s="36">
        <f>IFERROR(Calculations!$P16/12,"")</f>
        <v>34675</v>
      </c>
      <c r="H26" s="36">
        <f>IFERROR(Calculations!$P16/12,"")</f>
        <v>34675</v>
      </c>
      <c r="I26" s="36">
        <f>IFERROR(Calculations!$P16/12,"")</f>
        <v>34675</v>
      </c>
      <c r="J26" s="36">
        <f>IFERROR(Calculations!$P16/12,"")</f>
        <v>34675</v>
      </c>
      <c r="K26" s="36">
        <f>IFERROR(Calculations!$P16/12,"")</f>
        <v>34675</v>
      </c>
      <c r="L26" s="36">
        <f>IFERROR(Calculations!$P16/12,"")</f>
        <v>34675</v>
      </c>
      <c r="M26" s="36">
        <f>IFERROR(Calculations!$P16/12,"")</f>
        <v>34675</v>
      </c>
      <c r="N26" s="36">
        <f>IFERROR(Calculations!$P16/12,"")</f>
        <v>34675</v>
      </c>
      <c r="O26" s="36">
        <f>IFERROR(Calculations!$P16/12,"")</f>
        <v>34675</v>
      </c>
      <c r="P26" s="36">
        <f>IFERROR(Calculations!$P16/12,"")</f>
        <v>34675</v>
      </c>
      <c r="Q26" s="36">
        <f>IFERROR(Calculations!$P16/12,"")</f>
        <v>34675</v>
      </c>
      <c r="R26" s="36">
        <f>IFERROR(Calculations!$P16/12,"")</f>
        <v>34675</v>
      </c>
      <c r="S26" s="36">
        <f>IFERROR(Calculations!$P16/12,"")</f>
        <v>34675</v>
      </c>
      <c r="T26" s="36">
        <f>IFERROR(Calculations!$P16/12,"")</f>
        <v>34675</v>
      </c>
      <c r="U26" s="36">
        <f>IFERROR(Calculations!$P16/12,"")</f>
        <v>34675</v>
      </c>
      <c r="V26" s="36">
        <f>IFERROR(Calculations!$P16/12,"")</f>
        <v>34675</v>
      </c>
      <c r="W26" s="36">
        <f>IFERROR(Calculations!$P16/12,"")</f>
        <v>34675</v>
      </c>
      <c r="X26" s="36">
        <f>IFERROR(Calculations!$P16/12,"")</f>
        <v>34675</v>
      </c>
      <c r="Y26" s="36">
        <f>IFERROR(Calculations!$P16/12,"")</f>
        <v>34675</v>
      </c>
      <c r="Z26" s="36">
        <f>SUMIF($B$13:$Y$13,"Yes",B26:Y26)</f>
        <v>450775</v>
      </c>
      <c r="AA26" s="36">
        <f>SUM(B26:M26)</f>
        <v>416100</v>
      </c>
      <c r="AB26" s="46">
        <f>SUM(B26:Y26)</f>
        <v>832200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100000</v>
      </c>
      <c r="C29" s="37">
        <f>Inputs!$B$30</f>
        <v>100000</v>
      </c>
      <c r="D29" s="37">
        <f>Inputs!$B$30</f>
        <v>100000</v>
      </c>
      <c r="E29" s="37">
        <f>Inputs!$B$30</f>
        <v>100000</v>
      </c>
      <c r="F29" s="37">
        <f>Inputs!$B$30</f>
        <v>100000</v>
      </c>
      <c r="G29" s="37">
        <f>Inputs!$B$30</f>
        <v>100000</v>
      </c>
      <c r="H29" s="37">
        <f>Inputs!$B$30</f>
        <v>100000</v>
      </c>
      <c r="I29" s="37">
        <f>Inputs!$B$30</f>
        <v>100000</v>
      </c>
      <c r="J29" s="37">
        <f>Inputs!$B$30</f>
        <v>100000</v>
      </c>
      <c r="K29" s="37">
        <f>Inputs!$B$30</f>
        <v>100000</v>
      </c>
      <c r="L29" s="37">
        <f>Inputs!$B$30</f>
        <v>100000</v>
      </c>
      <c r="M29" s="37">
        <f>Inputs!$B$30</f>
        <v>100000</v>
      </c>
      <c r="N29" s="37">
        <f>Inputs!$B$30</f>
        <v>100000</v>
      </c>
      <c r="O29" s="37">
        <f>Inputs!$B$30</f>
        <v>100000</v>
      </c>
      <c r="P29" s="37">
        <f>Inputs!$B$30</f>
        <v>100000</v>
      </c>
      <c r="Q29" s="37">
        <f>Inputs!$B$30</f>
        <v>100000</v>
      </c>
      <c r="R29" s="37">
        <f>Inputs!$B$30</f>
        <v>100000</v>
      </c>
      <c r="S29" s="37">
        <f>Inputs!$B$30</f>
        <v>100000</v>
      </c>
      <c r="T29" s="37">
        <f>Inputs!$B$30</f>
        <v>100000</v>
      </c>
      <c r="U29" s="37">
        <f>Inputs!$B$30</f>
        <v>100000</v>
      </c>
      <c r="V29" s="37">
        <f>Inputs!$B$30</f>
        <v>100000</v>
      </c>
      <c r="W29" s="37">
        <f>Inputs!$B$30</f>
        <v>100000</v>
      </c>
      <c r="X29" s="37">
        <f>Inputs!$B$30</f>
        <v>100000</v>
      </c>
      <c r="Y29" s="37">
        <f>Inputs!$B$30</f>
        <v>100000</v>
      </c>
      <c r="Z29" s="37">
        <f>SUMIF($B$13:$Y$13,"Yes",B29:Y29)</f>
        <v>1300000</v>
      </c>
      <c r="AA29" s="37">
        <f>SUM(B29:M29)</f>
        <v>1200000</v>
      </c>
      <c r="AB29" s="37">
        <f>SUM(B29:Y29)</f>
        <v>2400000</v>
      </c>
    </row>
    <row r="30" spans="1:30" customHeight="1" ht="15.75">
      <c r="A30" s="1" t="s">
        <v>37</v>
      </c>
      <c r="B30" s="19">
        <f>SUM(B18:B29)</f>
        <v>210287.9757230609</v>
      </c>
      <c r="C30" s="19">
        <f>SUM(C18:C29)</f>
        <v>208532.9498615304</v>
      </c>
      <c r="D30" s="19">
        <f>SUM(D18:D29)</f>
        <v>206777.924</v>
      </c>
      <c r="E30" s="19">
        <f>SUM(E18:E29)</f>
        <v>211165.4886538261</v>
      </c>
      <c r="F30" s="19">
        <f>SUM(F18:F29)</f>
        <v>211165.4886538261</v>
      </c>
      <c r="G30" s="19">
        <f>SUM(G18:G29)</f>
        <v>208532.9498615304</v>
      </c>
      <c r="H30" s="19">
        <f>SUM(H18:H29)</f>
        <v>206777.924</v>
      </c>
      <c r="I30" s="19">
        <f>SUM(I18:I29)</f>
        <v>208532.9498615304</v>
      </c>
      <c r="J30" s="19">
        <f>SUM(J18:J29)</f>
        <v>210287.9757230609</v>
      </c>
      <c r="K30" s="19">
        <f>SUM(K18:K29)</f>
        <v>211165.4886538261</v>
      </c>
      <c r="L30" s="19">
        <f>SUM(L18:L29)</f>
        <v>211165.4886538261</v>
      </c>
      <c r="M30" s="19">
        <f>SUM(M18:M29)</f>
        <v>211165.4886538261</v>
      </c>
      <c r="N30" s="19">
        <f>SUM(N18:N29)</f>
        <v>210287.9757230609</v>
      </c>
      <c r="O30" s="19">
        <f>SUM(O18:O29)</f>
        <v>208532.9498615304</v>
      </c>
      <c r="P30" s="19">
        <f>SUM(P18:P29)</f>
        <v>206777.924</v>
      </c>
      <c r="Q30" s="19">
        <f>SUM(Q18:Q29)</f>
        <v>211165.4886538261</v>
      </c>
      <c r="R30" s="19">
        <f>SUM(R18:R29)</f>
        <v>211165.4886538261</v>
      </c>
      <c r="S30" s="19">
        <f>SUM(S18:S29)</f>
        <v>208532.9498615304</v>
      </c>
      <c r="T30" s="19">
        <f>SUM(T18:T29)</f>
        <v>206777.924</v>
      </c>
      <c r="U30" s="19">
        <f>SUM(U18:U29)</f>
        <v>208532.9498615304</v>
      </c>
      <c r="V30" s="19">
        <f>SUM(V18:V29)</f>
        <v>210287.9757230609</v>
      </c>
      <c r="W30" s="19">
        <f>SUM(W18:W29)</f>
        <v>211165.4886538261</v>
      </c>
      <c r="X30" s="19">
        <f>SUM(X18:X29)</f>
        <v>211165.4886538261</v>
      </c>
      <c r="Y30" s="19">
        <f>SUM(Y18:Y29)</f>
        <v>211165.4886538261</v>
      </c>
      <c r="Z30" s="19">
        <f>SUMIF($B$13:$Y$13,"Yes",B30:Y30)</f>
        <v>2725846.068022904</v>
      </c>
      <c r="AA30" s="19">
        <f>SUM(B30:M30)</f>
        <v>2515558.092299844</v>
      </c>
      <c r="AB30" s="19">
        <f>SUM(B30:Y30)</f>
        <v>5031116.184599689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Coffee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Bananas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Coffee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Bananas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Coffee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Bananas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Coffee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Bananas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Coffee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Bananas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3750</v>
      </c>
      <c r="C66" s="36">
        <f>O66</f>
        <v>3750</v>
      </c>
      <c r="D66" s="36">
        <f>P66</f>
        <v>3750</v>
      </c>
      <c r="E66" s="36">
        <f>Q66</f>
        <v>3750</v>
      </c>
      <c r="F66" s="36">
        <f>R66</f>
        <v>3750</v>
      </c>
      <c r="G66" s="36">
        <f>S66</f>
        <v>3750</v>
      </c>
      <c r="H66" s="36">
        <f>T66</f>
        <v>3750</v>
      </c>
      <c r="I66" s="36">
        <f>U66</f>
        <v>3750</v>
      </c>
      <c r="J66" s="36">
        <f>V66</f>
        <v>3750</v>
      </c>
      <c r="K66" s="36">
        <f>W66</f>
        <v>3750</v>
      </c>
      <c r="L66" s="36">
        <f>X66</f>
        <v>3750</v>
      </c>
      <c r="M66" s="36">
        <f>Y66</f>
        <v>3750</v>
      </c>
      <c r="N66" s="46">
        <f>SUM(N67:N71)</f>
        <v>3750</v>
      </c>
      <c r="O66" s="46">
        <f>SUM(O67:O71)</f>
        <v>3750</v>
      </c>
      <c r="P66" s="46">
        <f>SUM(P67:P71)</f>
        <v>3750</v>
      </c>
      <c r="Q66" s="46">
        <f>SUM(Q67:Q71)</f>
        <v>3750</v>
      </c>
      <c r="R66" s="46">
        <f>SUM(R67:R71)</f>
        <v>3750</v>
      </c>
      <c r="S66" s="46">
        <f>SUM(S67:S71)</f>
        <v>3750</v>
      </c>
      <c r="T66" s="46">
        <f>SUM(T67:T71)</f>
        <v>3750</v>
      </c>
      <c r="U66" s="46">
        <f>SUM(U67:U71)</f>
        <v>3750</v>
      </c>
      <c r="V66" s="46">
        <f>SUM(V67:V71)</f>
        <v>3750</v>
      </c>
      <c r="W66" s="46">
        <f>SUM(W67:W71)</f>
        <v>3750</v>
      </c>
      <c r="X66" s="46">
        <f>SUM(X67:X71)</f>
        <v>3750</v>
      </c>
      <c r="Y66" s="46">
        <f>SUM(Y67:Y71)</f>
        <v>3750</v>
      </c>
      <c r="Z66" s="46">
        <f>SUMIF($B$13:$Y$13,"Yes",B66:Y66)</f>
        <v>48750</v>
      </c>
      <c r="AA66" s="46">
        <f>SUM(B66:M66)</f>
        <v>45000</v>
      </c>
      <c r="AB66" s="46">
        <f>SUM(B66:Y66)</f>
        <v>90000</v>
      </c>
    </row>
    <row r="67" spans="1:30" hidden="true" outlineLevel="1">
      <c r="A67" s="181" t="str">
        <f>Calculations!$A$4</f>
        <v>Coffee</v>
      </c>
      <c r="B67" s="36">
        <f>N67</f>
        <v>3000</v>
      </c>
      <c r="C67" s="36">
        <f>O67</f>
        <v>3000</v>
      </c>
      <c r="D67" s="36">
        <f>P67</f>
        <v>3000</v>
      </c>
      <c r="E67" s="36">
        <f>Q67</f>
        <v>3000</v>
      </c>
      <c r="F67" s="36">
        <f>R67</f>
        <v>3000</v>
      </c>
      <c r="G67" s="36">
        <f>S67</f>
        <v>3000</v>
      </c>
      <c r="H67" s="36">
        <f>T67</f>
        <v>3000</v>
      </c>
      <c r="I67" s="36">
        <f>U67</f>
        <v>3000</v>
      </c>
      <c r="J67" s="36">
        <f>V67</f>
        <v>3000</v>
      </c>
      <c r="K67" s="36">
        <f>W67</f>
        <v>3000</v>
      </c>
      <c r="L67" s="36">
        <f>X67</f>
        <v>3000</v>
      </c>
      <c r="M67" s="36">
        <f>Y67</f>
        <v>3000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3000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3000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3000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3000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3000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3000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3000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3000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3000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3000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3000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3000</v>
      </c>
      <c r="Z67" s="46">
        <f>SUMIF($B$13:$Y$13,"Yes",B67:Y67)</f>
        <v>39000</v>
      </c>
      <c r="AA67" s="46">
        <f>SUM(B67:M67)</f>
        <v>36000</v>
      </c>
      <c r="AB67" s="46">
        <f>SUM(B67:Y67)</f>
        <v>72000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Bananas</v>
      </c>
      <c r="B69" s="36">
        <f>N69</f>
        <v>750</v>
      </c>
      <c r="C69" s="36">
        <f>O69</f>
        <v>750</v>
      </c>
      <c r="D69" s="36">
        <f>P69</f>
        <v>750</v>
      </c>
      <c r="E69" s="36">
        <f>Q69</f>
        <v>750</v>
      </c>
      <c r="F69" s="36">
        <f>R69</f>
        <v>750</v>
      </c>
      <c r="G69" s="36">
        <f>S69</f>
        <v>750</v>
      </c>
      <c r="H69" s="36">
        <f>T69</f>
        <v>750</v>
      </c>
      <c r="I69" s="36">
        <f>U69</f>
        <v>750</v>
      </c>
      <c r="J69" s="36">
        <f>V69</f>
        <v>750</v>
      </c>
      <c r="K69" s="36">
        <f>W69</f>
        <v>750</v>
      </c>
      <c r="L69" s="36">
        <f>X69</f>
        <v>750</v>
      </c>
      <c r="M69" s="36">
        <f>Y69</f>
        <v>750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750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750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750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750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750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750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750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750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750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750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750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750</v>
      </c>
      <c r="Z69" s="46">
        <f>SUMIF($B$13:$Y$13,"Yes",B69:Y69)</f>
        <v>9750</v>
      </c>
      <c r="AA69" s="46">
        <f>SUM(B69:M69)</f>
        <v>9000</v>
      </c>
      <c r="AB69" s="46">
        <f>SUM(B69:Y69)</f>
        <v>18000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13687.5</v>
      </c>
      <c r="C74" s="46">
        <f>SUM(Calculations!$Q$14:$Q$16)/12</f>
        <v>13687.5</v>
      </c>
      <c r="D74" s="46">
        <f>SUM(Calculations!$Q$14:$Q$16)/12</f>
        <v>13687.5</v>
      </c>
      <c r="E74" s="46">
        <f>SUM(Calculations!$Q$14:$Q$16)/12</f>
        <v>13687.5</v>
      </c>
      <c r="F74" s="46">
        <f>SUM(Calculations!$Q$14:$Q$16)/12</f>
        <v>13687.5</v>
      </c>
      <c r="G74" s="46">
        <f>SUM(Calculations!$Q$14:$Q$16)/12</f>
        <v>13687.5</v>
      </c>
      <c r="H74" s="46">
        <f>SUM(Calculations!$Q$14:$Q$16)/12</f>
        <v>13687.5</v>
      </c>
      <c r="I74" s="46">
        <f>SUM(Calculations!$Q$14:$Q$16)/12</f>
        <v>13687.5</v>
      </c>
      <c r="J74" s="46">
        <f>SUM(Calculations!$Q$14:$Q$16)/12</f>
        <v>13687.5</v>
      </c>
      <c r="K74" s="46">
        <f>SUM(Calculations!$Q$14:$Q$16)/12</f>
        <v>13687.5</v>
      </c>
      <c r="L74" s="46">
        <f>SUM(Calculations!$Q$14:$Q$16)/12</f>
        <v>13687.5</v>
      </c>
      <c r="M74" s="46">
        <f>SUM(Calculations!$Q$14:$Q$16)/12</f>
        <v>13687.5</v>
      </c>
      <c r="N74" s="46">
        <f>SUM(Calculations!$Q$14:$Q$16)/12</f>
        <v>13687.5</v>
      </c>
      <c r="O74" s="46">
        <f>SUM(Calculations!$Q$14:$Q$16)/12</f>
        <v>13687.5</v>
      </c>
      <c r="P74" s="46">
        <f>SUM(Calculations!$Q$14:$Q$16)/12</f>
        <v>13687.5</v>
      </c>
      <c r="Q74" s="46">
        <f>SUM(Calculations!$Q$14:$Q$16)/12</f>
        <v>13687.5</v>
      </c>
      <c r="R74" s="46">
        <f>SUM(Calculations!$Q$14:$Q$16)/12</f>
        <v>13687.5</v>
      </c>
      <c r="S74" s="46">
        <f>SUM(Calculations!$Q$14:$Q$16)/12</f>
        <v>13687.5</v>
      </c>
      <c r="T74" s="46">
        <f>SUM(Calculations!$Q$14:$Q$16)/12</f>
        <v>13687.5</v>
      </c>
      <c r="U74" s="46">
        <f>SUM(Calculations!$Q$14:$Q$16)/12</f>
        <v>13687.5</v>
      </c>
      <c r="V74" s="46">
        <f>SUM(Calculations!$Q$14:$Q$16)/12</f>
        <v>13687.5</v>
      </c>
      <c r="W74" s="46">
        <f>SUM(Calculations!$Q$14:$Q$16)/12</f>
        <v>13687.5</v>
      </c>
      <c r="X74" s="46">
        <f>SUM(Calculations!$Q$14:$Q$16)/12</f>
        <v>13687.5</v>
      </c>
      <c r="Y74" s="46">
        <f>SUM(Calculations!$Q$14:$Q$16)/12</f>
        <v>13687.5</v>
      </c>
      <c r="Z74" s="46">
        <f>SUMIF($B$13:$Y$13,"Yes",B74:Y74)</f>
        <v>177937.5</v>
      </c>
      <c r="AA74" s="46">
        <f>SUM(B74:M74)</f>
        <v>164250</v>
      </c>
      <c r="AB74" s="46">
        <f>SUM(B74:Y74)</f>
        <v>328500</v>
      </c>
    </row>
    <row r="75" spans="1:30">
      <c r="A75" s="16" t="s">
        <v>47</v>
      </c>
      <c r="B75" s="46">
        <f>SUM(Calculations!$R$14:$R$16)/12</f>
        <v>833.3333333333334</v>
      </c>
      <c r="C75" s="46">
        <f>SUM(Calculations!$R$14:$R$16)/12</f>
        <v>833.3333333333334</v>
      </c>
      <c r="D75" s="46">
        <f>SUM(Calculations!$R$14:$R$16)/12</f>
        <v>833.3333333333334</v>
      </c>
      <c r="E75" s="46">
        <f>SUM(Calculations!$R$14:$R$16)/12</f>
        <v>833.3333333333334</v>
      </c>
      <c r="F75" s="46">
        <f>SUM(Calculations!$R$14:$R$16)/12</f>
        <v>833.3333333333334</v>
      </c>
      <c r="G75" s="46">
        <f>SUM(Calculations!$R$14:$R$16)/12</f>
        <v>833.3333333333334</v>
      </c>
      <c r="H75" s="46">
        <f>SUM(Calculations!$R$14:$R$16)/12</f>
        <v>833.3333333333334</v>
      </c>
      <c r="I75" s="46">
        <f>SUM(Calculations!$R$14:$R$16)/12</f>
        <v>833.3333333333334</v>
      </c>
      <c r="J75" s="46">
        <f>SUM(Calculations!$R$14:$R$16)/12</f>
        <v>833.3333333333334</v>
      </c>
      <c r="K75" s="46">
        <f>SUM(Calculations!$R$14:$R$16)/12</f>
        <v>833.3333333333334</v>
      </c>
      <c r="L75" s="46">
        <f>SUM(Calculations!$R$14:$R$16)/12</f>
        <v>833.3333333333334</v>
      </c>
      <c r="M75" s="46">
        <f>SUM(Calculations!$R$14:$R$16)/12</f>
        <v>833.3333333333334</v>
      </c>
      <c r="N75" s="46">
        <f>SUM(Calculations!$R$14:$R$16)/12</f>
        <v>833.3333333333334</v>
      </c>
      <c r="O75" s="46">
        <f>SUM(Calculations!$R$14:$R$16)/12</f>
        <v>833.3333333333334</v>
      </c>
      <c r="P75" s="46">
        <f>SUM(Calculations!$R$14:$R$16)/12</f>
        <v>833.3333333333334</v>
      </c>
      <c r="Q75" s="46">
        <f>SUM(Calculations!$R$14:$R$16)/12</f>
        <v>833.3333333333334</v>
      </c>
      <c r="R75" s="46">
        <f>SUM(Calculations!$R$14:$R$16)/12</f>
        <v>833.3333333333334</v>
      </c>
      <c r="S75" s="46">
        <f>SUM(Calculations!$R$14:$R$16)/12</f>
        <v>833.3333333333334</v>
      </c>
      <c r="T75" s="46">
        <f>SUM(Calculations!$R$14:$R$16)/12</f>
        <v>833.3333333333334</v>
      </c>
      <c r="U75" s="46">
        <f>SUM(Calculations!$R$14:$R$16)/12</f>
        <v>833.3333333333334</v>
      </c>
      <c r="V75" s="46">
        <f>SUM(Calculations!$R$14:$R$16)/12</f>
        <v>833.3333333333334</v>
      </c>
      <c r="W75" s="46">
        <f>SUM(Calculations!$R$14:$R$16)/12</f>
        <v>833.3333333333334</v>
      </c>
      <c r="X75" s="46">
        <f>SUM(Calculations!$R$14:$R$16)/12</f>
        <v>833.3333333333334</v>
      </c>
      <c r="Y75" s="46">
        <f>SUM(Calculations!$R$14:$R$16)/12</f>
        <v>833.3333333333334</v>
      </c>
      <c r="Z75" s="46">
        <f>SUMIF($B$13:$Y$13,"Yes",B75:Y75)</f>
        <v>10833.33333333333</v>
      </c>
      <c r="AA75" s="46">
        <f>SUM(B75:M75)</f>
        <v>10000</v>
      </c>
      <c r="AB75" s="46">
        <f>SUM(B75:Y75)</f>
        <v>20000</v>
      </c>
    </row>
    <row r="76" spans="1:30">
      <c r="A76" s="16" t="s">
        <v>48</v>
      </c>
      <c r="B76" s="46">
        <f>SUM(Calculations!$S$14:$S$16)/12</f>
        <v>5666.666666666667</v>
      </c>
      <c r="C76" s="46">
        <f>SUM(Calculations!$S$14:$S$16)/12</f>
        <v>5666.666666666667</v>
      </c>
      <c r="D76" s="46">
        <f>SUM(Calculations!$S$14:$S$16)/12</f>
        <v>5666.666666666667</v>
      </c>
      <c r="E76" s="46">
        <f>SUM(Calculations!$S$14:$S$16)/12</f>
        <v>5666.666666666667</v>
      </c>
      <c r="F76" s="46">
        <f>SUM(Calculations!$S$14:$S$16)/12</f>
        <v>5666.666666666667</v>
      </c>
      <c r="G76" s="46">
        <f>SUM(Calculations!$S$14:$S$16)/12</f>
        <v>5666.666666666667</v>
      </c>
      <c r="H76" s="46">
        <f>SUM(Calculations!$S$14:$S$16)/12</f>
        <v>5666.666666666667</v>
      </c>
      <c r="I76" s="46">
        <f>SUM(Calculations!$S$14:$S$16)/12</f>
        <v>5666.666666666667</v>
      </c>
      <c r="J76" s="46">
        <f>SUM(Calculations!$S$14:$S$16)/12</f>
        <v>5666.666666666667</v>
      </c>
      <c r="K76" s="46">
        <f>SUM(Calculations!$S$14:$S$16)/12</f>
        <v>5666.666666666667</v>
      </c>
      <c r="L76" s="46">
        <f>SUM(Calculations!$S$14:$S$16)/12</f>
        <v>5666.666666666667</v>
      </c>
      <c r="M76" s="46">
        <f>SUM(Calculations!$S$14:$S$16)/12</f>
        <v>5666.666666666667</v>
      </c>
      <c r="N76" s="46">
        <f>SUM(Calculations!$S$14:$S$16)/12</f>
        <v>5666.666666666667</v>
      </c>
      <c r="O76" s="46">
        <f>SUM(Calculations!$S$14:$S$16)/12</f>
        <v>5666.666666666667</v>
      </c>
      <c r="P76" s="46">
        <f>SUM(Calculations!$S$14:$S$16)/12</f>
        <v>5666.666666666667</v>
      </c>
      <c r="Q76" s="46">
        <f>SUM(Calculations!$S$14:$S$16)/12</f>
        <v>5666.666666666667</v>
      </c>
      <c r="R76" s="46">
        <f>SUM(Calculations!$S$14:$S$16)/12</f>
        <v>5666.666666666667</v>
      </c>
      <c r="S76" s="46">
        <f>SUM(Calculations!$S$14:$S$16)/12</f>
        <v>5666.666666666667</v>
      </c>
      <c r="T76" s="46">
        <f>SUM(Calculations!$S$14:$S$16)/12</f>
        <v>5666.666666666667</v>
      </c>
      <c r="U76" s="46">
        <f>SUM(Calculations!$S$14:$S$16)/12</f>
        <v>5666.666666666667</v>
      </c>
      <c r="V76" s="46">
        <f>SUM(Calculations!$S$14:$S$16)/12</f>
        <v>5666.666666666667</v>
      </c>
      <c r="W76" s="46">
        <f>SUM(Calculations!$S$14:$S$16)/12</f>
        <v>5666.666666666667</v>
      </c>
      <c r="X76" s="46">
        <f>SUM(Calculations!$S$14:$S$16)/12</f>
        <v>5666.666666666667</v>
      </c>
      <c r="Y76" s="46">
        <f>SUM(Calculations!$S$14:$S$16)/12</f>
        <v>5666.666666666667</v>
      </c>
      <c r="Z76" s="46">
        <f>SUMIF($B$13:$Y$13,"Yes",B76:Y76)</f>
        <v>73666.66666666666</v>
      </c>
      <c r="AA76" s="46">
        <f>SUM(B76:M76)</f>
        <v>67999.99999999999</v>
      </c>
      <c r="AB76" s="46">
        <f>SUM(B76:Y76)</f>
        <v>136000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70276.9364099948</v>
      </c>
      <c r="C81" s="46">
        <f>(SUM($AA$18:$AA$29)-SUM($AA$36,$AA$42,$AA$48,$AA$54,$AA$60,$AA$66,$AA$72:$AA$79))*Parameters!$B$37/12</f>
        <v>70276.9364099948</v>
      </c>
      <c r="D81" s="46">
        <f>(SUM($AA$18:$AA$29)-SUM($AA$36,$AA$42,$AA$48,$AA$54,$AA$60,$AA$66,$AA$72:$AA$79))*Parameters!$B$37/12</f>
        <v>70276.9364099948</v>
      </c>
      <c r="E81" s="46">
        <f>(SUM($AA$18:$AA$29)-SUM($AA$36,$AA$42,$AA$48,$AA$54,$AA$60,$AA$66,$AA$72:$AA$79))*Parameters!$B$37/12</f>
        <v>70276.9364099948</v>
      </c>
      <c r="F81" s="46">
        <f>(SUM($AA$18:$AA$29)-SUM($AA$36,$AA$42,$AA$48,$AA$54,$AA$60,$AA$66,$AA$72:$AA$79))*Parameters!$B$37/12</f>
        <v>70276.9364099948</v>
      </c>
      <c r="G81" s="46">
        <f>(SUM($AA$18:$AA$29)-SUM($AA$36,$AA$42,$AA$48,$AA$54,$AA$60,$AA$66,$AA$72:$AA$79))*Parameters!$B$37/12</f>
        <v>70276.9364099948</v>
      </c>
      <c r="H81" s="46">
        <f>(SUM($AA$18:$AA$29)-SUM($AA$36,$AA$42,$AA$48,$AA$54,$AA$60,$AA$66,$AA$72:$AA$79))*Parameters!$B$37/12</f>
        <v>70276.9364099948</v>
      </c>
      <c r="I81" s="46">
        <f>(SUM($AA$18:$AA$29)-SUM($AA$36,$AA$42,$AA$48,$AA$54,$AA$60,$AA$66,$AA$72:$AA$79))*Parameters!$B$37/12</f>
        <v>70276.9364099948</v>
      </c>
      <c r="J81" s="46">
        <f>(SUM($AA$18:$AA$29)-SUM($AA$36,$AA$42,$AA$48,$AA$54,$AA$60,$AA$66,$AA$72:$AA$79))*Parameters!$B$37/12</f>
        <v>70276.9364099948</v>
      </c>
      <c r="K81" s="46">
        <f>(SUM($AA$18:$AA$29)-SUM($AA$36,$AA$42,$AA$48,$AA$54,$AA$60,$AA$66,$AA$72:$AA$79))*Parameters!$B$37/12</f>
        <v>70276.9364099948</v>
      </c>
      <c r="L81" s="46">
        <f>(SUM($AA$18:$AA$29)-SUM($AA$36,$AA$42,$AA$48,$AA$54,$AA$60,$AA$66,$AA$72:$AA$79))*Parameters!$B$37/12</f>
        <v>70276.9364099948</v>
      </c>
      <c r="M81" s="46">
        <f>(SUM($AA$18:$AA$29)-SUM($AA$36,$AA$42,$AA$48,$AA$54,$AA$60,$AA$66,$AA$72:$AA$79))*Parameters!$B$37/12</f>
        <v>70276.9364099948</v>
      </c>
      <c r="N81" s="46">
        <f>(SUM($AA$18:$AA$29)-SUM($AA$36,$AA$42,$AA$48,$AA$54,$AA$60,$AA$66,$AA$72:$AA$79))*Parameters!$B$37/12</f>
        <v>70276.9364099948</v>
      </c>
      <c r="O81" s="46">
        <f>(SUM($AA$18:$AA$29)-SUM($AA$36,$AA$42,$AA$48,$AA$54,$AA$60,$AA$66,$AA$72:$AA$79))*Parameters!$B$37/12</f>
        <v>70276.9364099948</v>
      </c>
      <c r="P81" s="46">
        <f>(SUM($AA$18:$AA$29)-SUM($AA$36,$AA$42,$AA$48,$AA$54,$AA$60,$AA$66,$AA$72:$AA$79))*Parameters!$B$37/12</f>
        <v>70276.9364099948</v>
      </c>
      <c r="Q81" s="46">
        <f>(SUM($AA$18:$AA$29)-SUM($AA$36,$AA$42,$AA$48,$AA$54,$AA$60,$AA$66,$AA$72:$AA$79))*Parameters!$B$37/12</f>
        <v>70276.9364099948</v>
      </c>
      <c r="R81" s="46">
        <f>(SUM($AA$18:$AA$29)-SUM($AA$36,$AA$42,$AA$48,$AA$54,$AA$60,$AA$66,$AA$72:$AA$79))*Parameters!$B$37/12</f>
        <v>70276.9364099948</v>
      </c>
      <c r="S81" s="46">
        <f>(SUM($AA$18:$AA$29)-SUM($AA$36,$AA$42,$AA$48,$AA$54,$AA$60,$AA$66,$AA$72:$AA$79))*Parameters!$B$37/12</f>
        <v>70276.9364099948</v>
      </c>
      <c r="T81" s="46">
        <f>(SUM($AA$18:$AA$29)-SUM($AA$36,$AA$42,$AA$48,$AA$54,$AA$60,$AA$66,$AA$72:$AA$79))*Parameters!$B$37/12</f>
        <v>70276.9364099948</v>
      </c>
      <c r="U81" s="46">
        <f>(SUM($AA$18:$AA$29)-SUM($AA$36,$AA$42,$AA$48,$AA$54,$AA$60,$AA$66,$AA$72:$AA$79))*Parameters!$B$37/12</f>
        <v>70276.9364099948</v>
      </c>
      <c r="V81" s="46">
        <f>(SUM($AA$18:$AA$29)-SUM($AA$36,$AA$42,$AA$48,$AA$54,$AA$60,$AA$66,$AA$72:$AA$79))*Parameters!$B$37/12</f>
        <v>70276.9364099948</v>
      </c>
      <c r="W81" s="46">
        <f>(SUM($AA$18:$AA$29)-SUM($AA$36,$AA$42,$AA$48,$AA$54,$AA$60,$AA$66,$AA$72:$AA$79))*Parameters!$B$37/12</f>
        <v>70276.9364099948</v>
      </c>
      <c r="X81" s="46">
        <f>(SUM($AA$18:$AA$29)-SUM($AA$36,$AA$42,$AA$48,$AA$54,$AA$60,$AA$66,$AA$72:$AA$79))*Parameters!$B$37/12</f>
        <v>70276.9364099948</v>
      </c>
      <c r="Y81" s="46">
        <f>(SUM($AA$18:$AA$29)-SUM($AA$36,$AA$42,$AA$48,$AA$54,$AA$60,$AA$66,$AA$72:$AA$79))*Parameters!$B$37/12</f>
        <v>70276.9364099948</v>
      </c>
      <c r="Z81" s="46">
        <f>SUMIF($B$13:$Y$13,"Yes",B81:Y81)</f>
        <v>913600.1733299326</v>
      </c>
      <c r="AA81" s="46">
        <f>SUM(B81:M81)</f>
        <v>843323.2369199378</v>
      </c>
      <c r="AB81" s="46">
        <f>SUM(B81:Y81)</f>
        <v>1686646.473839875</v>
      </c>
    </row>
    <row r="82" spans="1:30">
      <c r="A82" s="16" t="s">
        <v>52</v>
      </c>
      <c r="B82" s="46">
        <f>SUM(B83:B87)</f>
        <v>12094.14414414414</v>
      </c>
      <c r="C82" s="46">
        <f>SUM(C83:C87)</f>
        <v>12094.14414414414</v>
      </c>
      <c r="D82" s="46">
        <f>SUM(D83:D87)</f>
        <v>9661.711711711714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33850</v>
      </c>
      <c r="AA82" s="46">
        <f>SUM(B82:M82)</f>
        <v>33850</v>
      </c>
      <c r="AB82" s="46">
        <f>SUM(B82:Y82)</f>
        <v>33850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12094.14414414414</v>
      </c>
      <c r="C85" s="46">
        <f>IF(Calculations!$E25&gt;COUNT(Output!$B$35:C$35),Calculations!$B25,IF(Calculations!$E25=COUNT(Output!$B$35:C$35),Inputs!$B58-Calculations!$C25*(Calculations!$E25-1)+Calculations!$D25,0))</f>
        <v>12094.14414414414</v>
      </c>
      <c r="D85" s="46">
        <f>IF(Calculations!$E25&gt;COUNT(Output!$B$35:D$35),Calculations!$B25,IF(Calculations!$E25=COUNT(Output!$B$35:D$35),Inputs!$B58-Calculations!$C25*(Calculations!$E25-1)+Calculations!$D25,0))</f>
        <v>9661.711711711714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33850</v>
      </c>
      <c r="AA85" s="46">
        <f>SUM(B85:M85)</f>
        <v>33850</v>
      </c>
      <c r="AB85" s="46">
        <f>SUM(B85:Y85)</f>
        <v>33850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116308.5805541389</v>
      </c>
      <c r="C88" s="19">
        <f>SUM(C72:C82,C66,C60,C54,C48,C42,C36)</f>
        <v>116308.5805541389</v>
      </c>
      <c r="D88" s="19">
        <f>SUM(D72:D82,D66,D60,D54,D48,D42,D36)</f>
        <v>113876.1481217065</v>
      </c>
      <c r="E88" s="19">
        <f>SUM(E72:E82,E66,E60,E54,E48,E42,E36)</f>
        <v>104214.4364099948</v>
      </c>
      <c r="F88" s="19">
        <f>SUM(F72:F82,F66,F60,F54,F48,F42,F36)</f>
        <v>104214.4364099948</v>
      </c>
      <c r="G88" s="19">
        <f>SUM(G72:G82,G66,G60,G54,G48,G42,G36)</f>
        <v>104214.4364099948</v>
      </c>
      <c r="H88" s="19">
        <f>SUM(H72:H82,H66,H60,H54,H48,H42,H36)</f>
        <v>104214.4364099948</v>
      </c>
      <c r="I88" s="19">
        <f>SUM(I72:I82,I66,I60,I54,I48,I42,I36)</f>
        <v>104214.4364099948</v>
      </c>
      <c r="J88" s="19">
        <f>SUM(J72:J82,J66,J60,J54,J48,J42,J36)</f>
        <v>104214.4364099948</v>
      </c>
      <c r="K88" s="19">
        <f>SUM(K72:K82,K66,K60,K54,K48,K42,K36)</f>
        <v>104214.4364099948</v>
      </c>
      <c r="L88" s="19">
        <f>SUM(L72:L82,L66,L60,L54,L48,L42,L36)</f>
        <v>104214.4364099948</v>
      </c>
      <c r="M88" s="19">
        <f>SUM(M72:M82,M66,M60,M54,M48,M42,M36)</f>
        <v>104214.4364099948</v>
      </c>
      <c r="N88" s="19">
        <f>SUM(N72:N82,N66,N60,N54,N48,N42,N36)</f>
        <v>104214.4364099948</v>
      </c>
      <c r="O88" s="19">
        <f>SUM(O72:O82,O66,O60,O54,O48,O42,O36)</f>
        <v>104214.4364099948</v>
      </c>
      <c r="P88" s="19">
        <f>SUM(P72:P82,P66,P60,P54,P48,P42,P36)</f>
        <v>104214.4364099948</v>
      </c>
      <c r="Q88" s="19">
        <f>SUM(Q72:Q82,Q66,Q60,Q54,Q48,Q42,Q36)</f>
        <v>104214.4364099948</v>
      </c>
      <c r="R88" s="19">
        <f>SUM(R72:R82,R66,R60,R54,R48,R42,R36)</f>
        <v>104214.4364099948</v>
      </c>
      <c r="S88" s="19">
        <f>SUM(S72:S82,S66,S60,S54,S48,S42,S36)</f>
        <v>104214.4364099948</v>
      </c>
      <c r="T88" s="19">
        <f>SUM(T72:T82,T66,T60,T54,T48,T42,T36)</f>
        <v>104214.4364099948</v>
      </c>
      <c r="U88" s="19">
        <f>SUM(U72:U82,U66,U60,U54,U48,U42,U36)</f>
        <v>104214.4364099948</v>
      </c>
      <c r="V88" s="19">
        <f>SUM(V72:V82,V66,V60,V54,V48,V42,V36)</f>
        <v>104214.4364099948</v>
      </c>
      <c r="W88" s="19">
        <f>SUM(W72:W82,W66,W60,W54,W48,W42,W36)</f>
        <v>104214.4364099948</v>
      </c>
      <c r="X88" s="19">
        <f>SUM(X72:X82,X66,X60,X54,X48,X42,X36)</f>
        <v>104214.4364099948</v>
      </c>
      <c r="Y88" s="19">
        <f>SUM(Y72:Y82,Y66,Y60,Y54,Y48,Y42,Y36)</f>
        <v>104214.4364099948</v>
      </c>
      <c r="Z88" s="19">
        <f>SUMIF($B$13:$Y$13,"Yes",B88:Y88)</f>
        <v>1388637.673329932</v>
      </c>
      <c r="AA88" s="19">
        <f>SUM(B88:M88)</f>
        <v>1284423.236919938</v>
      </c>
      <c r="AB88" s="19">
        <f>SUM(B88:Y88)</f>
        <v>2534996.473839875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1200000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48375000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30000</v>
      </c>
    </row>
    <row r="101" spans="1:30" customHeight="1" ht="15.75">
      <c r="A101" s="1" t="s">
        <v>67</v>
      </c>
      <c r="B101" s="19">
        <f>SUM(B94:B100)</f>
        <v>52405000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30000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235000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93</v>
      </c>
      <c r="B8" s="16"/>
      <c r="C8" s="143">
        <v>3</v>
      </c>
      <c r="D8" s="16"/>
      <c r="E8" s="147" t="s">
        <v>94</v>
      </c>
      <c r="F8" s="149" t="s">
        <v>91</v>
      </c>
      <c r="G8" s="147"/>
      <c r="H8" s="147" t="s">
        <v>91</v>
      </c>
      <c r="I8" s="147" t="s">
        <v>91</v>
      </c>
      <c r="J8" s="148" t="s">
        <v>92</v>
      </c>
      <c r="K8" s="138"/>
      <c r="L8" s="16"/>
      <c r="M8" s="165">
        <v>5</v>
      </c>
      <c r="N8" s="154">
        <v>0</v>
      </c>
    </row>
    <row r="9" spans="1:48">
      <c r="A9" s="143" t="s">
        <v>95</v>
      </c>
      <c r="B9" s="16"/>
      <c r="C9" s="143">
        <v>2</v>
      </c>
      <c r="D9" s="16"/>
      <c r="E9" s="147" t="s">
        <v>96</v>
      </c>
      <c r="F9" s="149" t="s">
        <v>91</v>
      </c>
      <c r="G9" s="147"/>
      <c r="H9" s="147" t="s">
        <v>91</v>
      </c>
      <c r="I9" s="147" t="s">
        <v>91</v>
      </c>
      <c r="J9" s="148" t="s">
        <v>92</v>
      </c>
      <c r="K9" s="138"/>
      <c r="L9" s="16"/>
      <c r="M9" s="165">
        <v>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10</v>
      </c>
      <c r="D19" s="145"/>
      <c r="E19" s="20"/>
      <c r="F19" s="145" t="s">
        <v>111</v>
      </c>
      <c r="G19" s="20"/>
      <c r="H19" s="20"/>
      <c r="I19" s="145" t="s">
        <v>112</v>
      </c>
      <c r="J19" s="145"/>
      <c r="K19" s="145"/>
      <c r="L19" s="25"/>
    </row>
    <row r="20" spans="1:48">
      <c r="A20" s="143" t="s">
        <v>113</v>
      </c>
      <c r="B20" s="16"/>
      <c r="C20" s="143">
        <v>4</v>
      </c>
      <c r="D20" s="147">
        <v>1</v>
      </c>
      <c r="E20" s="16"/>
      <c r="F20" s="147" t="s">
        <v>111</v>
      </c>
      <c r="G20" s="16"/>
      <c r="H20" s="16"/>
      <c r="I20" s="147" t="s">
        <v>112</v>
      </c>
      <c r="J20" s="147">
        <v>5</v>
      </c>
      <c r="K20" s="147"/>
      <c r="L20" s="30"/>
    </row>
    <row r="21" spans="1:48">
      <c r="A21" s="144" t="s">
        <v>113</v>
      </c>
      <c r="B21" s="23"/>
      <c r="C21" s="144">
        <v>4</v>
      </c>
      <c r="D21" s="150">
        <v>4</v>
      </c>
      <c r="E21" s="23"/>
      <c r="F21" s="150" t="s">
        <v>91</v>
      </c>
      <c r="G21" s="23"/>
      <c r="H21" s="23"/>
      <c r="I21" s="150" t="s">
        <v>114</v>
      </c>
      <c r="J21" s="150">
        <v>0</v>
      </c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40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100000</v>
      </c>
    </row>
    <row r="31" spans="1:48">
      <c r="A31" s="5" t="s">
        <v>121</v>
      </c>
      <c r="B31" s="158">
        <v>10000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111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111</v>
      </c>
    </row>
    <row r="45" spans="1:48">
      <c r="A45" s="56" t="s">
        <v>134</v>
      </c>
      <c r="B45" s="161">
        <v>2000000</v>
      </c>
    </row>
    <row r="46" spans="1:48" customHeight="1" ht="30">
      <c r="A46" s="57" t="s">
        <v>135</v>
      </c>
      <c r="B46" s="161">
        <v>500000</v>
      </c>
    </row>
    <row r="47" spans="1:48" customHeight="1" ht="30">
      <c r="A47" s="57" t="s">
        <v>136</v>
      </c>
      <c r="B47" s="161">
        <v>250000</v>
      </c>
    </row>
    <row r="48" spans="1:48" customHeight="1" ht="30">
      <c r="A48" s="57" t="s">
        <v>137</v>
      </c>
      <c r="B48" s="161">
        <v>30000</v>
      </c>
    </row>
    <row r="49" spans="1:48" customHeight="1" ht="30">
      <c r="A49" s="57" t="s">
        <v>138</v>
      </c>
      <c r="B49" s="161">
        <v>50000</v>
      </c>
    </row>
    <row r="50" spans="1:48">
      <c r="A50" s="43"/>
      <c r="B50" s="36"/>
    </row>
    <row r="51" spans="1:48">
      <c r="A51" s="58" t="s">
        <v>139</v>
      </c>
      <c r="B51" s="161">
        <v>5000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30000</v>
      </c>
      <c r="B56" s="159">
        <v>0</v>
      </c>
      <c r="C56" s="162" t="s">
        <v>147</v>
      </c>
      <c r="D56" s="163" t="s">
        <v>148</v>
      </c>
      <c r="E56" s="163" t="s">
        <v>111</v>
      </c>
      <c r="F56" s="163" t="s">
        <v>149</v>
      </c>
    </row>
    <row r="57" spans="1:48">
      <c r="A57" s="157">
        <v>60000</v>
      </c>
      <c r="B57" s="157">
        <v>0</v>
      </c>
      <c r="C57" s="164" t="s">
        <v>150</v>
      </c>
      <c r="D57" s="165" t="s">
        <v>151</v>
      </c>
      <c r="E57" s="165" t="s">
        <v>111</v>
      </c>
      <c r="F57" s="165" t="s">
        <v>152</v>
      </c>
    </row>
    <row r="58" spans="1:48">
      <c r="A58" s="157">
        <v>70000</v>
      </c>
      <c r="B58" s="157">
        <v>30000</v>
      </c>
      <c r="C58" s="164" t="s">
        <v>153</v>
      </c>
      <c r="D58" s="165" t="s">
        <v>151</v>
      </c>
      <c r="E58" s="165" t="s">
        <v>111</v>
      </c>
      <c r="F58" s="165" t="s">
        <v>152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155</v>
      </c>
      <c r="C65" s="10" t="s">
        <v>156</v>
      </c>
    </row>
    <row r="66" spans="1:48">
      <c r="A66" s="142" t="s">
        <v>157</v>
      </c>
      <c r="B66" s="159">
        <v>102150</v>
      </c>
      <c r="C66" s="163">
        <v>881201</v>
      </c>
      <c r="D66" s="49">
        <f>INDEX(Parameters!$D$79:$D$90,MATCH(Inputs!A66,Parameters!$C$79:$C$90,0))</f>
        <v>2</v>
      </c>
    </row>
    <row r="67" spans="1:48">
      <c r="A67" s="143" t="s">
        <v>158</v>
      </c>
      <c r="B67" s="157">
        <v>127124</v>
      </c>
      <c r="C67" s="165">
        <v>100124</v>
      </c>
      <c r="D67" s="49">
        <f>INDEX(Parameters!$D$79:$D$90,MATCH(Inputs!A67,Parameters!$C$79:$C$90,0))</f>
        <v>1</v>
      </c>
    </row>
    <row r="68" spans="1:48">
      <c r="A68" s="143" t="s">
        <v>159</v>
      </c>
      <c r="B68" s="157">
        <v>130145</v>
      </c>
      <c r="C68" s="165">
        <v>102140</v>
      </c>
      <c r="D68" s="49">
        <f>INDEX(Parameters!$D$79:$D$90,MATCH(Inputs!A68,Parameters!$C$79:$C$90,0))</f>
        <v>12</v>
      </c>
    </row>
    <row r="69" spans="1:48">
      <c r="A69" s="143" t="s">
        <v>160</v>
      </c>
      <c r="B69" s="157">
        <v>98150</v>
      </c>
      <c r="C69" s="165">
        <v>78000</v>
      </c>
      <c r="D69" s="49">
        <f>INDEX(Parameters!$D$79:$D$90,MATCH(Inputs!A69,Parameters!$C$79:$C$90,0))</f>
        <v>11</v>
      </c>
    </row>
    <row r="70" spans="1:48">
      <c r="A70" s="143" t="s">
        <v>161</v>
      </c>
      <c r="B70" s="157">
        <v>101120</v>
      </c>
      <c r="C70" s="165">
        <v>80830</v>
      </c>
      <c r="D70" s="49">
        <f>INDEX(Parameters!$D$79:$D$90,MATCH(Inputs!A70,Parameters!$C$79:$C$90,0))</f>
        <v>10</v>
      </c>
    </row>
    <row r="71" spans="1:48">
      <c r="A71" s="144" t="s">
        <v>162</v>
      </c>
      <c r="B71" s="158">
        <v>110210</v>
      </c>
      <c r="C71" s="167">
        <v>88120</v>
      </c>
      <c r="D71" s="49">
        <f>INDEX(Parameters!$D$79:$D$90,MATCH(Inputs!A71,Parameters!$C$79:$C$90,0))</f>
        <v>9</v>
      </c>
    </row>
    <row r="73" spans="1:48">
      <c r="A73" s="3" t="s">
        <v>163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164</v>
      </c>
      <c r="B75" s="161">
        <v>13</v>
      </c>
    </row>
    <row r="76" spans="1:48">
      <c r="A76" t="s">
        <v>165</v>
      </c>
      <c r="B76" s="168" t="s">
        <v>166</v>
      </c>
    </row>
    <row r="78" spans="1:48" customHeight="1" ht="20.25">
      <c r="B78" s="127" t="s">
        <v>167</v>
      </c>
    </row>
    <row r="79" spans="1:48">
      <c r="A79" t="s">
        <v>168</v>
      </c>
      <c r="B79" s="168" t="s">
        <v>166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169</v>
      </c>
      <c r="B80" s="168" t="s">
        <v>170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171</v>
      </c>
      <c r="B81" s="161">
        <v>200000</v>
      </c>
    </row>
    <row r="82" spans="1:48">
      <c r="A82" t="s">
        <v>172</v>
      </c>
      <c r="B82" s="161">
        <v>20</v>
      </c>
    </row>
    <row r="83" spans="1:48">
      <c r="A83" t="s">
        <v>173</v>
      </c>
      <c r="B83" s="169" t="s">
        <v>174</v>
      </c>
    </row>
    <row r="84" spans="1:48">
      <c r="A84" t="s">
        <v>175</v>
      </c>
      <c r="B84" s="169">
        <v>1</v>
      </c>
    </row>
    <row r="85" spans="1:48">
      <c r="A85" t="s">
        <v>176</v>
      </c>
      <c r="B85" s="169">
        <v>12</v>
      </c>
    </row>
    <row r="86" spans="1:48">
      <c r="A86" t="s">
        <v>177</v>
      </c>
      <c r="B86" s="161"/>
    </row>
    <row r="87" spans="1:48">
      <c r="A87" t="s">
        <v>178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179</v>
      </c>
      <c r="C3" s="15" t="s">
        <v>180</v>
      </c>
      <c r="D3" s="15" t="s">
        <v>181</v>
      </c>
      <c r="E3" s="15" t="s">
        <v>182</v>
      </c>
      <c r="F3" s="15" t="s">
        <v>183</v>
      </c>
      <c r="G3" s="15" t="s">
        <v>184</v>
      </c>
      <c r="H3" s="15" t="s">
        <v>185</v>
      </c>
      <c r="I3" s="15" t="s">
        <v>186</v>
      </c>
      <c r="J3" s="15" t="s">
        <v>187</v>
      </c>
      <c r="K3" s="15" t="s">
        <v>188</v>
      </c>
      <c r="L3" s="15" t="s">
        <v>189</v>
      </c>
      <c r="M3" s="15" t="s">
        <v>190</v>
      </c>
      <c r="N3" s="15" t="s">
        <v>191</v>
      </c>
      <c r="O3" s="15" t="s">
        <v>192</v>
      </c>
      <c r="P3" s="15" t="s">
        <v>193</v>
      </c>
      <c r="Q3" s="32" t="s">
        <v>194</v>
      </c>
      <c r="R3" s="15" t="s">
        <v>195</v>
      </c>
      <c r="S3" s="15" t="s">
        <v>196</v>
      </c>
      <c r="T3" s="15" t="s">
        <v>197</v>
      </c>
      <c r="U3" s="178" t="s">
        <v>87</v>
      </c>
      <c r="V3" s="32" t="s">
        <v>198</v>
      </c>
      <c r="W3" s="32" t="s">
        <v>199</v>
      </c>
      <c r="X3" s="32" t="s">
        <v>200</v>
      </c>
      <c r="Y3" s="32" t="s">
        <v>201</v>
      </c>
      <c r="Z3" s="32" t="s">
        <v>43</v>
      </c>
      <c r="AA3" s="32" t="s">
        <v>202</v>
      </c>
      <c r="AB3" s="32" t="s">
        <v>203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Coffee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190.9765864946637</v>
      </c>
      <c r="M4" s="25">
        <f>L4*H4</f>
        <v>763.9063459786549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44.8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34223.00429984374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60000</v>
      </c>
      <c r="AC4" s="60">
        <f>IF($A4=0,1/12,IFERROR(INDEX(Parameters!$X$2:$AI$17,MATCH(Calculations!$A4,Parameters!$A$2:$A$17,0),MONTH(Calculations!AC$3)),1/12))</f>
        <v>0.1025641025641026</v>
      </c>
      <c r="AD4" s="60">
        <f>IF($A4=0,1/12,IFERROR(INDEX(Parameters!$X$2:$AI$17,MATCH(Calculations!$A4,Parameters!$A$2:$A$17,0),MONTH(Calculations!AD$3)),1/12))</f>
        <v>0.05128205128205128</v>
      </c>
      <c r="AE4" s="60">
        <f>IF($A4=0,1/12,IFERROR(INDEX(Parameters!$X$2:$AI$17,MATCH(Calculations!$A4,Parameters!$A$2:$A$17,0),MONTH(Calculations!AE$3)),1/12))</f>
        <v>0</v>
      </c>
      <c r="AF4" s="60">
        <f>IF($A4=0,1/12,IFERROR(INDEX(Parameters!$X$2:$AI$17,MATCH(Calculations!$A4,Parameters!$A$2:$A$17,0),MONTH(Calculations!AF$3)),1/12))</f>
        <v>0.1282051282051282</v>
      </c>
      <c r="AG4" s="60">
        <f>IF($A4=0,1/12,IFERROR(INDEX(Parameters!$X$2:$AI$17,MATCH(Calculations!$A4,Parameters!$A$2:$A$17,0),MONTH(Calculations!AG$3)),1/12))</f>
        <v>0.1282051282051282</v>
      </c>
      <c r="AH4" s="60">
        <f>IF($A4=0,1/12,IFERROR(INDEX(Parameters!$X$2:$AI$17,MATCH(Calculations!$A4,Parameters!$A$2:$A$17,0),MONTH(Calculations!AH$3)),1/12))</f>
        <v>0.05128205128205128</v>
      </c>
      <c r="AI4" s="60">
        <f>IF($A4=0,1/12,IFERROR(INDEX(Parameters!$X$2:$AI$17,MATCH(Calculations!$A4,Parameters!$A$2:$A$17,0),MONTH(Calculations!AI$3)),1/12))</f>
        <v>0</v>
      </c>
      <c r="AJ4" s="60">
        <f>IF($A4=0,1/12,IFERROR(INDEX(Parameters!$X$2:$AI$17,MATCH(Calculations!$A4,Parameters!$A$2:$A$17,0),MONTH(Calculations!AJ$3)),1/12))</f>
        <v>0.05128205128205128</v>
      </c>
      <c r="AK4" s="60">
        <f>IF($A4=0,1/12,IFERROR(INDEX(Parameters!$X$2:$AI$17,MATCH(Calculations!$A4,Parameters!$A$2:$A$17,0),MONTH(Calculations!AK$3)),1/12))</f>
        <v>0.1025641025641026</v>
      </c>
      <c r="AL4" s="60">
        <f>IF($A4=0,1/12,IFERROR(INDEX(Parameters!$X$2:$AI$17,MATCH(Calculations!$A4,Parameters!$A$2:$A$17,0),MONTH(Calculations!AL$3)),1/12))</f>
        <v>0.1282051282051282</v>
      </c>
      <c r="AM4" s="60">
        <f>IF($A4=0,1/12,IFERROR(INDEX(Parameters!$X$2:$AI$17,MATCH(Calculations!$A4,Parameters!$A$2:$A$17,0),MONTH(Calculations!AM$3)),1/12))</f>
        <v>0.1282051282051282</v>
      </c>
      <c r="AN4" s="60">
        <f>IF($A4=0,1/12,IFERROR(INDEX(Parameters!$X$2:$AI$17,MATCH(Calculations!$A4,Parameters!$A$2:$A$17,0),MONTH(Calculations!AN$3)),1/12))</f>
        <v>0.1282051282051282</v>
      </c>
      <c r="AO4" s="60">
        <f>IF($A4=0,1/12,IFERROR(INDEX(Parameters!$X$2:$AI$17,MATCH(Calculations!$A4,Parameters!$A$2:$A$17,0),MONTH(Calculations!AO$3)),1/12))</f>
        <v>0.1025641025641026</v>
      </c>
      <c r="AP4" s="60">
        <f>IF($A4=0,1/12,IFERROR(INDEX(Parameters!$X$2:$AI$17,MATCH(Calculations!$A4,Parameters!$A$2:$A$17,0),MONTH(Calculations!AP$3)),1/12))</f>
        <v>0.05128205128205128</v>
      </c>
      <c r="AQ4" s="60">
        <f>IF($A4=0,1/12,IFERROR(INDEX(Parameters!$X$2:$AI$17,MATCH(Calculations!$A4,Parameters!$A$2:$A$17,0),MONTH(Calculations!AQ$3)),1/12))</f>
        <v>0</v>
      </c>
      <c r="AR4" s="60">
        <f>IF($A4=0,1/12,IFERROR(INDEX(Parameters!$X$2:$AI$17,MATCH(Calculations!$A4,Parameters!$A$2:$A$17,0),MONTH(Calculations!AR$3)),1/12))</f>
        <v>0.1282051282051282</v>
      </c>
      <c r="AS4" s="60">
        <f>IF($A4=0,1/12,IFERROR(INDEX(Parameters!$X$2:$AI$17,MATCH(Calculations!$A4,Parameters!$A$2:$A$17,0),MONTH(Calculations!AS$3)),1/12))</f>
        <v>0.1282051282051282</v>
      </c>
      <c r="AT4" s="60">
        <f>IF($A4=0,1/12,IFERROR(INDEX(Parameters!$X$2:$AI$17,MATCH(Calculations!$A4,Parameters!$A$2:$A$17,0),MONTH(Calculations!AT$3)),1/12))</f>
        <v>0.05128205128205128</v>
      </c>
      <c r="AU4" s="60">
        <f>IF($A4=0,1/12,IFERROR(INDEX(Parameters!$X$2:$AI$17,MATCH(Calculations!$A4,Parameters!$A$2:$A$17,0),MONTH(Calculations!AU$3)),1/12))</f>
        <v>0</v>
      </c>
      <c r="AV4" s="60">
        <f>IF($A4=0,1/12,IFERROR(INDEX(Parameters!$X$2:$AI$17,MATCH(Calculations!$A4,Parameters!$A$2:$A$17,0),MONTH(Calculations!AV$3)),1/12))</f>
        <v>0.05128205128205128</v>
      </c>
      <c r="AW4" s="60">
        <f>IF($A4=0,1/12,IFERROR(INDEX(Parameters!$X$2:$AI$17,MATCH(Calculations!$A4,Parameters!$A$2:$A$17,0),MONTH(Calculations!AW$3)),1/12))</f>
        <v>0.1025641025641026</v>
      </c>
      <c r="AX4" s="60">
        <f>IF($A4=0,1/12,IFERROR(INDEX(Parameters!$X$2:$AI$17,MATCH(Calculations!$A4,Parameters!$A$2:$A$17,0),MONTH(Calculations!AX$3)),1/12))</f>
        <v>0.1282051282051282</v>
      </c>
      <c r="AY4" s="60">
        <f>IF($A4=0,1/12,IFERROR(INDEX(Parameters!$X$2:$AI$17,MATCH(Calculations!$A4,Parameters!$A$2:$A$17,0),MONTH(Calculations!AY$3)),1/12))</f>
        <v>0.1282051282051282</v>
      </c>
      <c r="AZ4" s="60">
        <f>IF($A4=0,1/12,IFERROR(INDEX(Parameters!$X$2:$AI$17,MATCH(Calculations!$A4,Parameters!$A$2:$A$17,0),MONTH(Calculations!AZ$3)),1/12))</f>
        <v>0.1282051282051282</v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Bananas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2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2000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6609.764</v>
      </c>
      <c r="M6" s="30">
        <f>L6*H6</f>
        <v>13219.528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277610.088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0</v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N/A</v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15000</v>
      </c>
      <c r="AC6" s="22">
        <f>IF($A6=0,1/12,IFERROR(INDEX(Parameters!$X$2:$AI$17,MATCH(Calculations!$A6,Parameters!$A$2:$A$17,0),MONTH(Calculations!AC$3)),1/12))</f>
        <v>0.08333333333333333</v>
      </c>
      <c r="AD6" s="22">
        <f>IF($A6=0,1/12,IFERROR(INDEX(Parameters!$X$2:$AI$17,MATCH(Calculations!$A6,Parameters!$A$2:$A$17,0),MONTH(Calculations!AD$3)),1/12))</f>
        <v>0.08333333333333333</v>
      </c>
      <c r="AE6" s="22">
        <f>IF($A6=0,1/12,IFERROR(INDEX(Parameters!$X$2:$AI$17,MATCH(Calculations!$A6,Parameters!$A$2:$A$17,0),MONTH(Calculations!AE$3)),1/12))</f>
        <v>0.08333333333333333</v>
      </c>
      <c r="AF6" s="22">
        <f>IF($A6=0,1/12,IFERROR(INDEX(Parameters!$X$2:$AI$17,MATCH(Calculations!$A6,Parameters!$A$2:$A$17,0),MONTH(Calculations!AF$3)),1/12))</f>
        <v>0.08333333333333333</v>
      </c>
      <c r="AG6" s="22">
        <f>IF($A6=0,1/12,IFERROR(INDEX(Parameters!$X$2:$AI$17,MATCH(Calculations!$A6,Parameters!$A$2:$A$17,0),MONTH(Calculations!AG$3)),1/12))</f>
        <v>0.08333333333333333</v>
      </c>
      <c r="AH6" s="22">
        <f>IF($A6=0,1/12,IFERROR(INDEX(Parameters!$X$2:$AI$17,MATCH(Calculations!$A6,Parameters!$A$2:$A$17,0),MONTH(Calculations!AH$3)),1/12))</f>
        <v>0.08333333333333333</v>
      </c>
      <c r="AI6" s="22">
        <f>IF($A6=0,1/12,IFERROR(INDEX(Parameters!$X$2:$AI$17,MATCH(Calculations!$A6,Parameters!$A$2:$A$17,0),MONTH(Calculations!AI$3)),1/12))</f>
        <v>0.08333333333333333</v>
      </c>
      <c r="AJ6" s="22">
        <f>IF($A6=0,1/12,IFERROR(INDEX(Parameters!$X$2:$AI$17,MATCH(Calculations!$A6,Parameters!$A$2:$A$17,0),MONTH(Calculations!AJ$3)),1/12))</f>
        <v>0.08333333333333333</v>
      </c>
      <c r="AK6" s="22">
        <f>IF($A6=0,1/12,IFERROR(INDEX(Parameters!$X$2:$AI$17,MATCH(Calculations!$A6,Parameters!$A$2:$A$17,0),MONTH(Calculations!AK$3)),1/12))</f>
        <v>0.08333333333333333</v>
      </c>
      <c r="AL6" s="22">
        <f>IF($A6=0,1/12,IFERROR(INDEX(Parameters!$X$2:$AI$17,MATCH(Calculations!$A6,Parameters!$A$2:$A$17,0),MONTH(Calculations!AL$3)),1/12))</f>
        <v>0.08333333333333333</v>
      </c>
      <c r="AM6" s="22">
        <f>IF($A6=0,1/12,IFERROR(INDEX(Parameters!$X$2:$AI$17,MATCH(Calculations!$A6,Parameters!$A$2:$A$17,0),MONTH(Calculations!AM$3)),1/12))</f>
        <v>0.08333333333333333</v>
      </c>
      <c r="AN6" s="22">
        <f>IF($A6=0,1/12,IFERROR(INDEX(Parameters!$X$2:$AI$17,MATCH(Calculations!$A6,Parameters!$A$2:$A$17,0),MONTH(Calculations!AN$3)),1/12))</f>
        <v>0.08333333333333333</v>
      </c>
      <c r="AO6" s="22">
        <f>IF($A6=0,1/12,IFERROR(INDEX(Parameters!$X$2:$AI$17,MATCH(Calculations!$A6,Parameters!$A$2:$A$17,0),MONTH(Calculations!AO$3)),1/12))</f>
        <v>0.08333333333333333</v>
      </c>
      <c r="AP6" s="22">
        <f>IF($A6=0,1/12,IFERROR(INDEX(Parameters!$X$2:$AI$17,MATCH(Calculations!$A6,Parameters!$A$2:$A$17,0),MONTH(Calculations!AP$3)),1/12))</f>
        <v>0.08333333333333333</v>
      </c>
      <c r="AQ6" s="22">
        <f>IF($A6=0,1/12,IFERROR(INDEX(Parameters!$X$2:$AI$17,MATCH(Calculations!$A6,Parameters!$A$2:$A$17,0),MONTH(Calculations!AQ$3)),1/12))</f>
        <v>0.08333333333333333</v>
      </c>
      <c r="AR6" s="22">
        <f>IF($A6=0,1/12,IFERROR(INDEX(Parameters!$X$2:$AI$17,MATCH(Calculations!$A6,Parameters!$A$2:$A$17,0),MONTH(Calculations!AR$3)),1/12))</f>
        <v>0.08333333333333333</v>
      </c>
      <c r="AS6" s="22">
        <f>IF($A6=0,1/12,IFERROR(INDEX(Parameters!$X$2:$AI$17,MATCH(Calculations!$A6,Parameters!$A$2:$A$17,0),MONTH(Calculations!AS$3)),1/12))</f>
        <v>0.08333333333333333</v>
      </c>
      <c r="AT6" s="22">
        <f>IF($A6=0,1/12,IFERROR(INDEX(Parameters!$X$2:$AI$17,MATCH(Calculations!$A6,Parameters!$A$2:$A$17,0),MONTH(Calculations!AT$3)),1/12))</f>
        <v>0.08333333333333333</v>
      </c>
      <c r="AU6" s="22">
        <f>IF($A6=0,1/12,IFERROR(INDEX(Parameters!$X$2:$AI$17,MATCH(Calculations!$A6,Parameters!$A$2:$A$17,0),MONTH(Calculations!AU$3)),1/12))</f>
        <v>0.08333333333333333</v>
      </c>
      <c r="AV6" s="22">
        <f>IF($A6=0,1/12,IFERROR(INDEX(Parameters!$X$2:$AI$17,MATCH(Calculations!$A6,Parameters!$A$2:$A$17,0),MONTH(Calculations!AV$3)),1/12))</f>
        <v>0.08333333333333333</v>
      </c>
      <c r="AW6" s="22">
        <f>IF($A6=0,1/12,IFERROR(INDEX(Parameters!$X$2:$AI$17,MATCH(Calculations!$A6,Parameters!$A$2:$A$17,0),MONTH(Calculations!AW$3)),1/12))</f>
        <v>0.08333333333333333</v>
      </c>
      <c r="AX6" s="22">
        <f>IF($A6=0,1/12,IFERROR(INDEX(Parameters!$X$2:$AI$17,MATCH(Calculations!$A6,Parameters!$A$2:$A$17,0),MONTH(Calculations!AX$3)),1/12))</f>
        <v>0.08333333333333333</v>
      </c>
      <c r="AY6" s="22">
        <f>IF($A6=0,1/12,IFERROR(INDEX(Parameters!$X$2:$AI$17,MATCH(Calculations!$A6,Parameters!$A$2:$A$17,0),MONTH(Calculations!AY$3)),1/12))</f>
        <v>0.08333333333333333</v>
      </c>
      <c r="AZ6" s="22">
        <f>IF($A6=0,1/12,IFERROR(INDEX(Parameters!$X$2:$AI$17,MATCH(Calculations!$A6,Parameters!$A$2:$A$17,0),MONTH(Calculations!AZ$3)),1/12))</f>
        <v>0.08333333333333333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204</v>
      </c>
      <c r="D13" s="15" t="s">
        <v>205</v>
      </c>
      <c r="E13" s="15" t="s">
        <v>206</v>
      </c>
      <c r="F13" s="15" t="s">
        <v>207</v>
      </c>
      <c r="G13" s="15" t="s">
        <v>208</v>
      </c>
      <c r="H13" s="15" t="s">
        <v>209</v>
      </c>
      <c r="I13" s="15" t="s">
        <v>210</v>
      </c>
      <c r="J13" s="15" t="s">
        <v>211</v>
      </c>
      <c r="K13" s="15" t="s">
        <v>212</v>
      </c>
      <c r="L13" s="15" t="s">
        <v>213</v>
      </c>
      <c r="M13" s="178" t="s">
        <v>214</v>
      </c>
      <c r="N13" s="178" t="s">
        <v>215</v>
      </c>
      <c r="O13" s="62" t="s">
        <v>216</v>
      </c>
      <c r="P13" s="62" t="s">
        <v>217</v>
      </c>
      <c r="Q13" s="62" t="s">
        <v>218</v>
      </c>
      <c r="R13" s="62" t="s">
        <v>219</v>
      </c>
      <c r="S13" s="62" t="s">
        <v>220</v>
      </c>
    </row>
    <row r="14" spans="1:52">
      <c r="A14" s="20" t="str">
        <f>Inputs!A19</f>
        <v>Pigs</v>
      </c>
      <c r="B14" s="20" t="str">
        <f>IFERROR(VLOOKUP(A14,Parameters!$A$23:$B$30,2,0),"")</f>
        <v>meat</v>
      </c>
      <c r="C14" s="20" t="str">
        <f>IF(Inputs!A19=Parameters!$A$30,Inputs!B19,A14&amp;": "&amp;B14)</f>
        <v>Pigs: meat</v>
      </c>
      <c r="D14" s="16">
        <f>Inputs!C19</f>
        <v>10</v>
      </c>
      <c r="E14" s="16">
        <f>Inputs!D19</f>
        <v/>
      </c>
      <c r="F14">
        <f>IFERROR(INDEX(Parameters!$A$22:$P$29,MATCH(Calculations!$A14,Parameters!$A$22:$A$29,0),MATCH(Parameters!$P$22,Parameters!$A$22:$P$22,0)),"")</f>
        <v>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</v>
      </c>
      <c r="H14" s="121">
        <f>IFERROR(IF(B14="meat",INDEX(Parameters!$A$22:$P$29,MATCH(Calculations!A14,Parameters!$A$22:$A$29,0),MATCH(Parameters!$I$22,Parameters!$A$22:$P$22,0))*G14,""),"")</f>
        <v>66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300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396000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20000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4</v>
      </c>
      <c r="E15" s="16">
        <f>Inputs!D20</f>
        <v>1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6.140350877192983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18.42105263157895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191625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4000</v>
      </c>
      <c r="S15" s="64">
        <f>IFERROR(D15*INDEX(Parameters!$A$22:$P$29,MATCH(Calculations!$A15,Parameters!$A$22:$A$29,0),MATCH(Parameters!$N$22,Parameters!$A$22:$P$22,0)),"")</f>
        <v>24000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4</v>
      </c>
      <c r="E16" s="16">
        <f>Inputs!D21</f>
        <v>4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3.166666666666667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9.5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50000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416100</v>
      </c>
      <c r="Q16" s="64">
        <f>IFERROR(D16*INDEX(Parameters!$A$22:$P$29,MATCH(Calculations!$A16,Parameters!$A$22:$A$29,0),MATCH(Parameters!$L$22,Parameters!$A$22:$P$22,0))*IF(Inputs!I21="Always",1,IF(Inputs!I21="Sometimes",0.5,0))*365,"")</f>
        <v>73000</v>
      </c>
      <c r="R16" s="64">
        <f>IFERROR(D16*INDEX(Parameters!$A$22:$P$29,MATCH(Calculations!$A16,Parameters!$A$22:$A$29,0),MATCH(Parameters!$M$22,Parameters!$A$22:$P$22,0)),"")</f>
        <v>4000</v>
      </c>
      <c r="S16" s="64">
        <f>IFERROR(D16*INDEX(Parameters!$A$22:$P$29,MATCH(Calculations!$A16,Parameters!$A$22:$A$29,0),MATCH(Parameters!$N$22,Parameters!$A$22:$P$22,0)),"")</f>
        <v>24000</v>
      </c>
    </row>
    <row r="17" spans="1:52">
      <c r="A17" s="23" t="str">
        <f>IFERROR(INDEX($A$14:$A$16,MATCH(Parameters!$B$23,Calculations!$B$14:$B$16,0)),"")</f>
        <v>Cows_dairy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4</v>
      </c>
      <c r="E17" s="23"/>
      <c r="F17" s="6">
        <f>IFERROR(INDEX(Parameters!$A$22:$P$29,MATCH(Calculations!$A17,Parameters!$A$22:$A$29,0),MATCH(Parameters!$P$22,Parameters!$A$22:$P$22,0)),"")</f>
        <v>60</v>
      </c>
      <c r="G17" s="120">
        <f>IF(A17="","",INDEX(G14:G16,MATCH(Parameters!B23,B14:B16,0)))</f>
        <v>3.166666666666667</v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N/A</v>
      </c>
      <c r="J17" s="126"/>
      <c r="K17" s="61"/>
      <c r="L17" s="172">
        <f>IF(A17="","",DATE(YEAR(Inputs!$B$76),MONTH(Inputs!$B$76)+Parameters!O23-INDEX(Inputs!$L$19:$L$21,MATCH(Parameters!$A$23,Inputs!$A$19:$A$21,0)),1))</f>
        <v>43709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221</v>
      </c>
      <c r="C22" s="74" t="s">
        <v>222</v>
      </c>
      <c r="D22" s="74" t="s">
        <v>223</v>
      </c>
      <c r="E22" s="74" t="s">
        <v>224</v>
      </c>
    </row>
    <row r="23" spans="1:52">
      <c r="A23" s="75">
        <f>Inputs!A56</f>
        <v>30000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60000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70000</v>
      </c>
      <c r="B25" s="46">
        <f>SUM(C25:D25)</f>
        <v>12094.14414414414</v>
      </c>
      <c r="C25" s="46">
        <f>IF(Inputs!B58&gt;0,(Inputs!A58-Inputs!B58)/(DATE(YEAR(Inputs!$B$76),MONTH(Inputs!$B$76),DAY(Inputs!$B$76))-DATE(YEAR(Inputs!C58),MONTH(Inputs!C58),DAY(Inputs!C58)))*30,0)</f>
        <v>10810.81081081081</v>
      </c>
      <c r="D25" s="46">
        <f>IF(Inputs!B58&gt;0,Inputs!A58*0.22/12,0)</f>
        <v>1283.333333333333</v>
      </c>
      <c r="E25" s="46">
        <f>IFERROR(ROUNDUP(Inputs!B58/B25,0),0)</f>
        <v>3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226</v>
      </c>
      <c r="B32" s="129" t="s">
        <v>227</v>
      </c>
      <c r="C32" s="129" t="s">
        <v>228</v>
      </c>
      <c r="D32" s="129" t="s">
        <v>229</v>
      </c>
      <c r="F32" s="132" t="s">
        <v>230</v>
      </c>
      <c r="G32" s="132" t="s">
        <v>231</v>
      </c>
      <c r="I32" s="174" t="s">
        <v>232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43199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43191</v>
      </c>
      <c r="F33" t="s">
        <v>168</v>
      </c>
      <c r="G33" s="128">
        <f>IF(Inputs!B79="","",DATE(YEAR(Inputs!B79),MONTH(Inputs!B79),DAY(Inputs!B79)))</f>
        <v>43160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43229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43221</v>
      </c>
      <c r="F34" t="s">
        <v>169</v>
      </c>
      <c r="G34" s="128">
        <f>IF(Inputs!B80="","",DATE(YEAR(Inputs!B80),MONTH(Inputs!B80),DAY(Inputs!B80)))</f>
        <v>43199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43260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43252</v>
      </c>
      <c r="F35" t="s">
        <v>171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43290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43282</v>
      </c>
      <c r="F36" t="s">
        <v>172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43321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43313</v>
      </c>
      <c r="F37" t="s">
        <v>233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43352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43344</v>
      </c>
      <c r="F38" t="s">
        <v>234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43382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43374</v>
      </c>
      <c r="F39" t="s">
        <v>177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43413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43405</v>
      </c>
      <c r="F40" t="s">
        <v>178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43443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43435</v>
      </c>
      <c r="F41" t="s">
        <v>235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43474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43466</v>
      </c>
      <c r="F42" t="s">
        <v>236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43505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43533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237</v>
      </c>
      <c r="C3" s="10" t="s">
        <v>238</v>
      </c>
      <c r="D3" s="10" t="s">
        <v>239</v>
      </c>
      <c r="E3" s="10" t="s">
        <v>240</v>
      </c>
      <c r="F3" s="10" t="s">
        <v>241</v>
      </c>
      <c r="G3" s="10" t="s">
        <v>242</v>
      </c>
      <c r="H3" s="10" t="s">
        <v>243</v>
      </c>
      <c r="I3" s="10" t="s">
        <v>244</v>
      </c>
      <c r="J3" s="10" t="s">
        <v>245</v>
      </c>
      <c r="K3" s="10" t="s">
        <v>246</v>
      </c>
      <c r="L3" s="10" t="s">
        <v>247</v>
      </c>
      <c r="M3" s="10" t="s">
        <v>248</v>
      </c>
      <c r="N3" s="10" t="s">
        <v>249</v>
      </c>
      <c r="O3" s="10" t="s">
        <v>250</v>
      </c>
      <c r="P3" s="10" t="s">
        <v>251</v>
      </c>
      <c r="Q3" s="10" t="s">
        <v>252</v>
      </c>
      <c r="R3" s="10" t="s">
        <v>253</v>
      </c>
      <c r="S3" s="10" t="s">
        <v>254</v>
      </c>
      <c r="T3" s="10" t="s">
        <v>255</v>
      </c>
      <c r="U3" s="10" t="s">
        <v>195</v>
      </c>
      <c r="V3" s="10" t="s">
        <v>193</v>
      </c>
      <c r="W3" s="10" t="s">
        <v>256</v>
      </c>
      <c r="X3" s="10" t="s">
        <v>257</v>
      </c>
      <c r="Y3" s="10" t="s">
        <v>258</v>
      </c>
      <c r="Z3" s="10" t="s">
        <v>259</v>
      </c>
      <c r="AA3" s="10" t="s">
        <v>260</v>
      </c>
      <c r="AB3" s="10" t="s">
        <v>261</v>
      </c>
      <c r="AC3" s="10" t="s">
        <v>262</v>
      </c>
      <c r="AD3" s="10" t="s">
        <v>263</v>
      </c>
      <c r="AE3" s="10" t="s">
        <v>264</v>
      </c>
      <c r="AF3" s="10" t="s">
        <v>265</v>
      </c>
      <c r="AG3" s="10" t="s">
        <v>266</v>
      </c>
      <c r="AH3" s="10" t="s">
        <v>267</v>
      </c>
      <c r="AI3" s="10" t="s">
        <v>268</v>
      </c>
    </row>
    <row r="4" spans="1:36" s="93" customFormat="1">
      <c r="A4" s="93" t="s">
        <v>95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89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209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299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270</v>
      </c>
      <c r="D24" s="115" t="s">
        <v>270</v>
      </c>
      <c r="E24" s="106">
        <v>0.05</v>
      </c>
      <c r="F24" s="106">
        <v>0.1</v>
      </c>
      <c r="G24" s="106">
        <v>0.2</v>
      </c>
      <c r="H24" s="116" t="s">
        <v>270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113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270</v>
      </c>
      <c r="J25" s="72" t="s">
        <v>270</v>
      </c>
      <c r="K25" s="72" t="s">
        <v>270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306</v>
      </c>
      <c r="B26" s="16" t="s">
        <v>303</v>
      </c>
      <c r="C26" s="116" t="s">
        <v>270</v>
      </c>
      <c r="D26" s="115" t="s">
        <v>270</v>
      </c>
      <c r="E26" s="106">
        <v>0.2</v>
      </c>
      <c r="F26" s="106">
        <v>0.7</v>
      </c>
      <c r="G26" s="106">
        <v>2</v>
      </c>
      <c r="H26" s="116" t="s">
        <v>270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307</v>
      </c>
      <c r="B27" s="71" t="s">
        <v>303</v>
      </c>
      <c r="C27" s="116" t="s">
        <v>270</v>
      </c>
      <c r="D27" s="115" t="s">
        <v>270</v>
      </c>
      <c r="E27" s="106">
        <v>0.15</v>
      </c>
      <c r="F27" s="106">
        <v>0.25</v>
      </c>
      <c r="G27" s="106">
        <v>1</v>
      </c>
      <c r="H27" s="116" t="s">
        <v>270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303</v>
      </c>
      <c r="C28" s="116" t="s">
        <v>270</v>
      </c>
      <c r="D28" s="115" t="s">
        <v>270</v>
      </c>
      <c r="E28" s="106">
        <v>0.15</v>
      </c>
      <c r="F28" s="106">
        <v>0.25</v>
      </c>
      <c r="G28" s="106">
        <v>1</v>
      </c>
      <c r="H28" s="116" t="s">
        <v>270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110</v>
      </c>
      <c r="B29" s="118" t="s">
        <v>303</v>
      </c>
      <c r="C29" s="31" t="s">
        <v>270</v>
      </c>
      <c r="D29" s="31" t="s">
        <v>270</v>
      </c>
      <c r="E29" s="24">
        <v>0.1</v>
      </c>
      <c r="F29" s="24">
        <v>0.2</v>
      </c>
      <c r="G29" s="24">
        <v>0</v>
      </c>
      <c r="H29" s="31" t="s">
        <v>270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98</v>
      </c>
      <c r="B41" s="191" t="s">
        <v>91</v>
      </c>
      <c r="C41" s="191" t="s">
        <v>111</v>
      </c>
    </row>
    <row r="42" spans="1:36">
      <c r="A42" t="s">
        <v>299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113</v>
      </c>
      <c r="B44" s="72">
        <v>50000</v>
      </c>
      <c r="C44" s="72">
        <v>200000</v>
      </c>
    </row>
    <row r="45" spans="1:36">
      <c r="A45" t="s">
        <v>306</v>
      </c>
      <c r="B45" s="72">
        <v>25000</v>
      </c>
      <c r="C45" s="72">
        <v>50000</v>
      </c>
    </row>
    <row r="46" spans="1:36">
      <c r="A46" t="s">
        <v>307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110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277</v>
      </c>
      <c r="E52" s="12" t="s">
        <v>277</v>
      </c>
      <c r="F52" s="12" t="s">
        <v>277</v>
      </c>
      <c r="G52" s="12" t="s">
        <v>319</v>
      </c>
      <c r="H52" s="12" t="s">
        <v>320</v>
      </c>
      <c r="I52" s="12" t="s">
        <v>132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237</v>
      </c>
      <c r="E53" s="10" t="s">
        <v>196</v>
      </c>
      <c r="F53" s="10" t="s">
        <v>256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111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111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111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111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111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111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111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111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111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111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111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174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233</v>
      </c>
      <c r="J76" s="11" t="s">
        <v>353</v>
      </c>
      <c r="K76" s="11" t="s">
        <v>186</v>
      </c>
      <c r="AJ76" s="12"/>
    </row>
    <row r="77" spans="1:36">
      <c r="A77" t="s">
        <v>111</v>
      </c>
      <c r="B77" s="176">
        <v>0</v>
      </c>
      <c r="C77" s="12" t="s">
        <v>354</v>
      </c>
      <c r="E77" s="12" t="s">
        <v>91</v>
      </c>
      <c r="F77" s="12" t="s">
        <v>91</v>
      </c>
      <c r="G77" s="12" t="s">
        <v>355</v>
      </c>
      <c r="H77" s="12" t="s">
        <v>320</v>
      </c>
      <c r="I77" s="12" t="s">
        <v>356</v>
      </c>
      <c r="J77" s="136" t="s">
        <v>94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357</v>
      </c>
      <c r="D78" s="133"/>
      <c r="E78" s="12" t="s">
        <v>358</v>
      </c>
      <c r="F78" s="12" t="s">
        <v>359</v>
      </c>
      <c r="G78" s="12" t="s">
        <v>112</v>
      </c>
      <c r="H78" s="12" t="s">
        <v>132</v>
      </c>
      <c r="I78" s="12" t="s">
        <v>360</v>
      </c>
      <c r="J78" s="70" t="s">
        <v>96</v>
      </c>
      <c r="K78" s="12" t="s">
        <v>91</v>
      </c>
      <c r="AJ78" s="12"/>
    </row>
    <row r="79" spans="1:36">
      <c r="B79" s="176">
        <v>10</v>
      </c>
      <c r="C79" s="12" t="s">
        <v>158</v>
      </c>
      <c r="D79" s="12">
        <v>1</v>
      </c>
      <c r="E79" s="12" t="s">
        <v>361</v>
      </c>
      <c r="F79" s="12" t="s">
        <v>362</v>
      </c>
      <c r="G79" s="12" t="s">
        <v>114</v>
      </c>
      <c r="I79" s="12" t="s">
        <v>174</v>
      </c>
      <c r="J79" s="70" t="s">
        <v>363</v>
      </c>
      <c r="K79" s="12" t="s">
        <v>91</v>
      </c>
      <c r="AJ79" s="12"/>
    </row>
    <row r="80" spans="1:36">
      <c r="B80" s="176">
        <v>20</v>
      </c>
      <c r="C80" s="12" t="s">
        <v>157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111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90</v>
      </c>
      <c r="K81" s="12" t="s">
        <v>111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371</v>
      </c>
      <c r="D85" s="12">
        <f>D84+1</f>
        <v>7</v>
      </c>
    </row>
    <row r="86" spans="1:36">
      <c r="B86" s="176">
        <v>80</v>
      </c>
      <c r="C86" s="12" t="s">
        <v>372</v>
      </c>
      <c r="D86" s="12">
        <f>D85+1</f>
        <v>8</v>
      </c>
    </row>
    <row r="87" spans="1:36">
      <c r="B87" s="176">
        <v>89.99999999999999</v>
      </c>
      <c r="C87" s="12" t="s">
        <v>162</v>
      </c>
      <c r="D87" s="12">
        <f>D86+1</f>
        <v>9</v>
      </c>
    </row>
    <row r="88" spans="1:36">
      <c r="B88" s="176">
        <v>99.99999999999999</v>
      </c>
      <c r="C88" s="12" t="s">
        <v>161</v>
      </c>
      <c r="D88" s="12">
        <f>D87+1</f>
        <v>10</v>
      </c>
    </row>
    <row r="89" spans="1:36">
      <c r="C89" s="12" t="s">
        <v>160</v>
      </c>
      <c r="D89" s="12">
        <f>D88+1</f>
        <v>11</v>
      </c>
    </row>
    <row r="90" spans="1:36">
      <c r="C90" s="12" t="s">
        <v>159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