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<sst xmlns="http://schemas.openxmlformats.org/spreadsheetml/2006/main" uniqueCount="368">
  <si>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</si>
  <si>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</si>
  <si>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</si>
  <si>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</si>
  <si>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</si>
  <si>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</si>
  <si>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</si>
  <si>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</si>
  <si>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</si>
  <si>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</si>
  <si>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</si>
  <si>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</si>
  <si>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</si>
  <si>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</si>
  <si>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</si>
  <si>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</si>
  <si>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</si>
  <si>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</si>
  <si>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</si>
  <si>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</si>
  <si>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</si>
  <si>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</si>
  <si>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</si>
  <si>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</si>
  <si>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</si>
  <si>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</si>
  <si>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</si>
  <si>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</si>
  <si>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</si>
  <si>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</si>
  <si>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</si>
  <si>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</si>
  <si>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</si>
  <si>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</si>
  <si>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</si>
  <si>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</si>
  <si>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</si>
  <si>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</si>
  <si>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</si>
  <si>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</si>
  <si>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</si>
  <si>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</si>
  <si>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</si>
  <si>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</si>
  <si>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</si>
  <si>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</si>
  <si>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</si>
  <si>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</si>
  <si>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</si>
  <si>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</si>
  <si>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</si>
  <si>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</si>
  <si>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</si>
  <si>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</si>
  <si>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</si>
  <si>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</si>
  <si>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</si>
  <si>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</si>
  <si>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</si>
  <si>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</si>
  <si>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</si>
  <si>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</si>
  <si>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</si>
  <si>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</si>
  <si>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</si>
  <si>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</si>
  <si>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</si>
  <si>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</si>
  <si>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</si>
  <si>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</si>
  <si>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</si>
  <si>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</si>
  <si>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</si>
  <si>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</si>
  <si>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</si>
  <si>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</si>
  <si>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</si>
  <si>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</si>
  <si>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</si>
  <si>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</si>
  <si>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</si>
  <si>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</si>
  <si>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</si>
  <si>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</si>
  <si>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</si>
  <si>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</si>
  <si>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</si>
  <si>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</si>
  <si>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</si>
  <si>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</si>
  <si>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Shop_common variety</t>
  </si>
  <si>
    <t>Yes Inorganic fertizers</t>
  </si>
  <si>
    <t>Yes</t>
  </si>
  <si>
    <t>No</t>
  </si>
  <si>
    <t>August</t>
  </si>
  <si>
    <t>Maize</t>
  </si>
  <si>
    <t>Shop_certified variety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</si>
  <si>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</si>
  <si>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</si>
  <si>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</si>
  <si>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</si>
  <si>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</si>
  <si>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</si>
  <si>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</si>
  <si>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</si>
  <si>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</si>
  <si>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</si>
  <si>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</si>
  <si>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</si>
  <si>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</si>
  <si>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</si>
  <si>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</si>
  <si>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</si>
  <si>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Chicken_layers</t>
  </si>
  <si>
    <t>Other animals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</si>
  <si>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</si>
  <si>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</si>
  <si>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</si>
  <si>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</si>
  <si>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</si>
  <si>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</si>
  <si>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</si>
  <si>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</si>
  <si>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</si>
  <si>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</si>
  <si>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</si>
  <si>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</si>
  <si>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</si>
  <si>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</si>
  <si>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</si>
  <si>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</si>
  <si>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</si>
  <si>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</si>
  <si>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</si>
  <si>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</si>
  <si>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</si>
  <si>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</si>
  <si>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</si>
  <si>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</si>
  <si>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</si>
  <si>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</si>
  <si>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</si>
  <si>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</si>
  <si>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</si>
  <si>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</si>
  <si>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</si>
  <si>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</si>
  <si>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7/4/2008</t>
  </si>
  <si>
    <t>Jamii bora</t>
  </si>
  <si>
    <t>Accrual of domancy fees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</si>
  <si>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</si>
  <si>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</si>
  <si>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</si>
  <si>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</si>
  <si>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</si>
  <si>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</si>
  <si>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</si>
  <si>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</si>
  <si>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</si>
  <si>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</si>
  <si>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</si>
  <si>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</si>
  <si>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</t>
  </si>
  <si>
    <t>Loan terms</t>
  </si>
  <si>
    <t>Expected disbursement date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</si>
  <si>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</si>
  <si>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</si>
  <si>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</si>
  <si>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</si>
  <si>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</si>
  <si>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</si>
  <si>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</si>
  <si>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</si>
  <si>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</si>
  <si>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</si>
  <si>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</si>
  <si>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</si>
  <si>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</si>
  <si>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</si>
  <si>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</si>
  <si>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</si>
  <si>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</si>
  <si>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</si>
  <si>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</si>
  <si>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</si>
  <si>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</si>
  <si>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</si>
  <si>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</si>
  <si>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</si>
  <si>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</si>
  <si>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</si>
  <si>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</si>
  <si>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</si>
  <si>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</si>
  <si>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</si>
  <si>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</si>
  <si>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</si>
  <si>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</si>
  <si>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</si>
  <si>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</si>
  <si>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</si>
  <si>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</si>
  <si>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</si>
  <si>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</si>
  <si>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</si>
  <si>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</si>
  <si>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</si>
  <si>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</si>
  <si>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</si>
  <si>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</si>
  <si>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</si>
  <si>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</si>
  <si>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</si>
  <si>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</si>
  <si>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</si>
  <si>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</si>
  <si>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</si>
  <si>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</si>
  <si>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</si>
  <si>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</si>
  <si>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</si>
  <si>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</si>
  <si>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</si>
  <si>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</si>
  <si>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</si>
  <si>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</si>
  <si>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</si>
  <si>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</si>
  <si>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</si>
  <si>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</si>
  <si>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</si>
  <si>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</si>
  <si>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</si>
  <si>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</si>
  <si>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</si>
  <si>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</si>
  <si>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</si>
  <si>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</si>
  <si>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</si>
  <si>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</si>
  <si>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</si>
  <si>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</si>
  <si>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</si>
  <si>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</si>
  <si>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</si>
  <si>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</si>
  <si>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</si>
  <si>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</si>
  <si>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</si>
  <si>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</si>
  <si>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</si>
  <si>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</si>
  <si>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</si>
  <si>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</si>
  <si>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</si>
  <si>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</si>
  <si>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</si>
  <si>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</si>
  <si>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</si>
  <si>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</si>
  <si>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</si>
  <si>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</si>
  <si>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</si>
  <si>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</si>
  <si>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</si>
  <si>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</si>
  <si>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</si>
  <si>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</si>
  <si>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</si>
  <si>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</si>
  <si>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</si>
  <si>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</si>
  <si>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</si>
  <si>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</si>
  <si>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</si>
  <si>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</si>
  <si>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</si>
  <si>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</si>
  <si>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</si>
  <si>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</si>
  <si>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</si>
  <si>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</si>
  <si>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</si>
  <si>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</si>
  <si>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</si>
  <si>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</si>
  <si>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</si>
  <si>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</si>
  <si>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</si>
  <si>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</si>
  <si>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</si>
  <si>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</si>
  <si>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</si>
  <si>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</si>
  <si>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</si>
  <si>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</si>
  <si>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</si>
  <si>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</si>
  <si>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</si>
  <si>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</si>
  <si>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</si>
  <si>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</si>
  <si>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</si>
  <si>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</si>
  <si>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</si>
  <si>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</si>
  <si>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</si>
  <si>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</si>
  <si>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</si>
  <si>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</si>
  <si>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</si>
  <si>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</si>
  <si>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</si>
  <si>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</si>
  <si>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</si>
  <si>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</si>
  <si>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</si>
  <si>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</si>
  <si>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</si>
  <si>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</si>
  <si>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</si>
  <si>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</si>
  <si>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</si>
  <si>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</si>
  <si>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</si>
  <si>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</si>
  <si>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</si>
  <si>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</si>
  <si>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</si>
  <si>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</si>
  <si>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</si>
  <si>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</si>
  <si>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</si>
  <si>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</si>
  <si>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</si>
  <si>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</si>
  <si>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</si>
  <si>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</si>
  <si>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</si>
  <si>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</si>
  <si>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</si>
  <si>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</si>
  <si>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</si>
  <si>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</si>
  <si>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</si>
  <si>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</si>
  <si>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</si>
  <si>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</si>
  <si>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</si>
  <si>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</si>
  <si>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</si>
  <si>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</si>
  <si>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</si>
  <si>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</si>
  <si>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</si>
  <si>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</si>
  <si>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</si>
  <si>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</si>
  <si>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</si>
  <si>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</si>
  <si>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</si>
  <si>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</si>
  <si>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</si>
  <si>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March</t>
  </si>
  <si>
    <t>NGO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</si>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</sst>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0.2648273396707276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0.03937162880428363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327970.844474687</v>
      </c>
    </row>
    <row r="18" spans="1:7">
      <c r="B18" s="1" t="s">
        <v>12</v>
      </c>
      <c r="C18" s="36">
        <f>MIN(Output!B6:M6)</f>
        <v>18771.4344966026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57267.16820439391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</v>
      </c>
    </row>
    <row r="25" spans="1:7">
      <c r="B25" s="1" t="s">
        <v>18</v>
      </c>
      <c r="C25" s="36">
        <f>MAX(Inputs!A56:A60)</f>
        <v>10000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25154.57735374546</v>
      </c>
      <c r="C6" s="51">
        <f>C30-C88</f>
        <v>18771.4344966026</v>
      </c>
      <c r="D6" s="51">
        <f>D30-D88</f>
        <v>22377.4344966026</v>
      </c>
      <c r="E6" s="51">
        <f>E30-E88</f>
        <v>29073.52575757771</v>
      </c>
      <c r="F6" s="51">
        <f>F30-F88</f>
        <v>25017.4344966026</v>
      </c>
      <c r="G6" s="51">
        <f>G30-G88</f>
        <v>19877.4344966026</v>
      </c>
      <c r="H6" s="51">
        <f>H30-H88</f>
        <v>22377.4344966026</v>
      </c>
      <c r="I6" s="51">
        <f>I30-I88</f>
        <v>57267.16820439391</v>
      </c>
      <c r="J6" s="51">
        <f>J30-J88</f>
        <v>25154.57735374546</v>
      </c>
      <c r="K6" s="51">
        <f>K30-K88</f>
        <v>31850.66861472057</v>
      </c>
      <c r="L6" s="51">
        <f>L30-L88</f>
        <v>28394.57735374546</v>
      </c>
      <c r="M6" s="51">
        <f>M30-M88</f>
        <v>22654.57735374546</v>
      </c>
      <c r="N6" s="51">
        <f>N30-N88</f>
        <v>25154.57735374546</v>
      </c>
      <c r="O6" s="51">
        <f>O30-O88</f>
        <v>18771.4344966026</v>
      </c>
      <c r="P6" s="51">
        <f>P30-P88</f>
        <v>22377.4344966026</v>
      </c>
      <c r="Q6" s="51">
        <f>Q30-Q88</f>
        <v>29073.52575757771</v>
      </c>
      <c r="R6" s="51">
        <f>R30-R88</f>
        <v>25017.4344966026</v>
      </c>
      <c r="S6" s="51">
        <f>S30-S88</f>
        <v>24752.4344966026</v>
      </c>
      <c r="T6" s="51">
        <f>T30-T88</f>
        <v>22377.4344966026</v>
      </c>
      <c r="U6" s="51">
        <f>U30-U88</f>
        <v>57267.16820439391</v>
      </c>
      <c r="V6" s="51">
        <f>V30-V88</f>
        <v>25154.57735374546</v>
      </c>
      <c r="W6" s="51">
        <f>W30-W88</f>
        <v>31850.66861472057</v>
      </c>
      <c r="X6" s="51">
        <f>X30-X88</f>
        <v>28394.57735374546</v>
      </c>
      <c r="Y6" s="51">
        <f>Y30-Y88</f>
        <v>22654.57735374546</v>
      </c>
      <c r="Z6" s="51">
        <f>SUMIF($B$13:$Y$13,"Yes",B6:Y6)</f>
        <v>353125.4218284325</v>
      </c>
      <c r="AA6" s="51">
        <f>AA30-AA88</f>
        <v>327970.8444746867</v>
      </c>
      <c r="AB6" s="51">
        <f>AB30-AB88</f>
        <v>660816.6889493737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31</v>
      </c>
      <c r="I7" s="80">
        <f>IF(ISERROR(VLOOKUP(MONTH(I5),Inputs!$D$66:$D$71,1,0)),"",INDEX(Inputs!$B$66:$B$71,MATCH(MONTH(Output!I5),Inputs!$D$66:$D$71,0))-INDEX(Inputs!$C$66:$C$71,MATCH(MONTH(Output!I5),Inputs!$D$66:$D$71,0)))</f>
        <v>-31</v>
      </c>
      <c r="J7" s="80">
        <f>IF(ISERROR(VLOOKUP(MONTH(J5),Inputs!$D$66:$D$71,1,0)),"",INDEX(Inputs!$B$66:$B$71,MATCH(MONTH(Output!J5),Inputs!$D$66:$D$71,0))-INDEX(Inputs!$C$66:$C$71,MATCH(MONTH(Output!J5),Inputs!$D$66:$D$71,0)))</f>
        <v>-7991</v>
      </c>
      <c r="K7" s="80">
        <f>IF(ISERROR(VLOOKUP(MONTH(K5),Inputs!$D$66:$D$71,1,0)),"",INDEX(Inputs!$B$66:$B$71,MATCH(MONTH(Output!K5),Inputs!$D$66:$D$71,0))-INDEX(Inputs!$C$66:$C$71,MATCH(MONTH(Output!K5),Inputs!$D$66:$D$71,0)))</f>
        <v>-2</v>
      </c>
      <c r="L7" s="80">
        <f>IF(ISERROR(VLOOKUP(MONTH(L5),Inputs!$D$66:$D$71,1,0)),"",INDEX(Inputs!$B$66:$B$71,MATCH(MONTH(Output!L5),Inputs!$D$66:$D$71,0))-INDEX(Inputs!$C$66:$C$71,MATCH(MONTH(Output!L5),Inputs!$D$66:$D$71,0)))</f>
        <v>27</v>
      </c>
      <c r="M7" s="80">
        <f>IF(ISERROR(VLOOKUP(MONTH(M5),Inputs!$D$66:$D$71,1,0)),"",INDEX(Inputs!$B$66:$B$71,MATCH(MONTH(Output!M5),Inputs!$D$66:$D$71,0))-INDEX(Inputs!$C$66:$C$71,MATCH(MONTH(Output!M5),Inputs!$D$66:$D$71,0)))</f>
        <v>-20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31</v>
      </c>
      <c r="U7" s="80">
        <f>IF(ISERROR(VLOOKUP(MONTH(U5),Inputs!$D$66:$D$71,1,0)),"",INDEX(Inputs!$B$66:$B$71,MATCH(MONTH(Output!U5),Inputs!$D$66:$D$71,0))-INDEX(Inputs!$C$66:$C$71,MATCH(MONTH(Output!U5),Inputs!$D$66:$D$71,0)))</f>
        <v>-31</v>
      </c>
      <c r="V7" s="80">
        <f>IF(ISERROR(VLOOKUP(MONTH(V5),Inputs!$D$66:$D$71,1,0)),"",INDEX(Inputs!$B$66:$B$71,MATCH(MONTH(Output!V5),Inputs!$D$66:$D$71,0))-INDEX(Inputs!$C$66:$C$71,MATCH(MONTH(Output!V5),Inputs!$D$66:$D$71,0)))</f>
        <v>-7991</v>
      </c>
      <c r="W7" s="80">
        <f>IF(ISERROR(VLOOKUP(MONTH(W5),Inputs!$D$66:$D$71,1,0)),"",INDEX(Inputs!$B$66:$B$71,MATCH(MONTH(Output!W5),Inputs!$D$66:$D$71,0))-INDEX(Inputs!$C$66:$C$71,MATCH(MONTH(Output!W5),Inputs!$D$66:$D$71,0)))</f>
        <v>-2</v>
      </c>
      <c r="X7" s="80">
        <f>IF(ISERROR(VLOOKUP(MONTH(X5),Inputs!$D$66:$D$71,1,0)),"",INDEX(Inputs!$B$66:$B$71,MATCH(MONTH(Output!X5),Inputs!$D$66:$D$71,0))-INDEX(Inputs!$C$66:$C$71,MATCH(MONTH(Output!X5),Inputs!$D$66:$D$71,0)))</f>
        <v>27</v>
      </c>
      <c r="Y7" s="80">
        <f>IF(ISERROR(VLOOKUP(MONTH(Y5),Inputs!$D$66:$D$71,1,0)),"",INDEX(Inputs!$B$66:$B$71,MATCH(MONTH(Output!Y5),Inputs!$D$66:$D$71,0))-INDEX(Inputs!$C$66:$C$71,MATCH(MONTH(Output!Y5),Inputs!$D$66:$D$71,0)))</f>
        <v>-20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125154.5773537455</v>
      </c>
      <c r="C11" s="80">
        <f>C6+C9-C10</f>
        <v>8771.434496602604</v>
      </c>
      <c r="D11" s="80">
        <f>D6+D9-D10</f>
        <v>12377.4344966026</v>
      </c>
      <c r="E11" s="80">
        <f>E6+E9-E10</f>
        <v>19073.52575757771</v>
      </c>
      <c r="F11" s="80">
        <f>F6+F9-F10</f>
        <v>15017.4344966026</v>
      </c>
      <c r="G11" s="80">
        <f>G6+G9-G10</f>
        <v>9877.434496602604</v>
      </c>
      <c r="H11" s="80">
        <f>H6+H9-H10</f>
        <v>12377.4344966026</v>
      </c>
      <c r="I11" s="80">
        <f>I6+I9-I10</f>
        <v>47267.16820439391</v>
      </c>
      <c r="J11" s="80">
        <f>J6+J9-J10</f>
        <v>15154.57735374546</v>
      </c>
      <c r="K11" s="80">
        <f>K6+K9-K10</f>
        <v>21850.66861472057</v>
      </c>
      <c r="L11" s="80">
        <f>L6+L9-L10</f>
        <v>18394.57735374546</v>
      </c>
      <c r="M11" s="80">
        <f>M6+M9-M10</f>
        <v>12654.57735374546</v>
      </c>
      <c r="N11" s="80">
        <f>N6+N9-N10</f>
        <v>15154.57735374546</v>
      </c>
      <c r="O11" s="80">
        <f>O6+O9-O10</f>
        <v>18771.4344966026</v>
      </c>
      <c r="P11" s="80">
        <f>P6+P9-P10</f>
        <v>22377.4344966026</v>
      </c>
      <c r="Q11" s="80">
        <f>Q6+Q9-Q10</f>
        <v>29073.52575757771</v>
      </c>
      <c r="R11" s="80">
        <f>R6+R9-R10</f>
        <v>25017.4344966026</v>
      </c>
      <c r="S11" s="80">
        <f>S6+S9-S10</f>
        <v>24752.4344966026</v>
      </c>
      <c r="T11" s="80">
        <f>T6+T9-T10</f>
        <v>22377.4344966026</v>
      </c>
      <c r="U11" s="80">
        <f>U6+U9-U10</f>
        <v>57267.16820439391</v>
      </c>
      <c r="V11" s="80">
        <f>V6+V9-V10</f>
        <v>25154.57735374546</v>
      </c>
      <c r="W11" s="80">
        <f>W6+W9-W10</f>
        <v>31850.66861472057</v>
      </c>
      <c r="X11" s="80">
        <f>X6+X9-X10</f>
        <v>28394.57735374546</v>
      </c>
      <c r="Y11" s="80">
        <f>Y6+Y9-Y10</f>
        <v>22654.57735374546</v>
      </c>
      <c r="Z11" s="85">
        <f>SUMIF($B$13:$Y$13,"Yes",B11:Y11)</f>
        <v>333125.4218284325</v>
      </c>
      <c r="AA11" s="80">
        <f>SUM(B11:M11)</f>
        <v>317970.844474687</v>
      </c>
      <c r="AB11" s="46">
        <f>SUM(B11:Y11)</f>
        <v>640816.6889493742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0.06948014380053717</v>
      </c>
      <c r="D12" s="82">
        <f>IF(D13="Yes",IF(SUM($B$10:D10)/(SUM($B$6:D6)+SUM($B$9:D9))&lt;0,999.99,SUM($B$10:D10)/(SUM($B$6:D6)+SUM($B$9:D9))),"")</f>
        <v>0.1202620898082592</v>
      </c>
      <c r="E12" s="82">
        <f>IF(E13="Yes",IF(SUM($B$10:E10)/(SUM($B$6:E6)+SUM($B$9:E9))&lt;0,999.99,SUM($B$10:E10)/(SUM($B$6:E6)+SUM($B$9:E9))),"")</f>
        <v>0.1535493138052612</v>
      </c>
      <c r="F12" s="82">
        <f>IF(F13="Yes",IF(SUM($B$10:F10)/(SUM($B$6:F6)+SUM($B$9:F9))&lt;0,999.99,SUM($B$10:F10)/(SUM($B$6:F6)+SUM($B$9:F9))),"")</f>
        <v>0.181492809263494</v>
      </c>
      <c r="G12" s="82">
        <f>IF(G13="Yes",IF(SUM($B$10:G10)/(SUM($B$6:G6)+SUM($B$9:G9))&lt;0,999.99,SUM($B$10:G10)/(SUM($B$6:G6)+SUM($B$9:G9))),"")</f>
        <v>0.2080976271358485</v>
      </c>
      <c r="H12" s="82">
        <f>IF(H13="Yes",IF(SUM($B$10:H10)/(SUM($B$6:H6)+SUM($B$9:H9))&lt;0,999.99,SUM($B$10:H10)/(SUM($B$6:H6)+SUM($B$9:H9))),"")</f>
        <v>0.2284415209759439</v>
      </c>
      <c r="I12" s="82">
        <f>IF(I13="Yes",IF(SUM($B$10:I10)/(SUM($B$6:I6)+SUM($B$9:I9))&lt;0,999.99,SUM($B$10:I10)/(SUM($B$6:I6)+SUM($B$9:I9))),"")</f>
        <v>0.2188071334152467</v>
      </c>
      <c r="J12" s="82">
        <f>IF(J13="Yes",IF(SUM($B$10:J10)/(SUM($B$6:J6)+SUM($B$9:J9))&lt;0,999.99,SUM($B$10:J10)/(SUM($B$6:J6)+SUM($B$9:J9))),"")</f>
        <v>0.2318363325115343</v>
      </c>
      <c r="K12" s="82">
        <f>IF(K13="Yes",IF(SUM($B$10:K10)/(SUM($B$6:K6)+SUM($B$9:K9))&lt;0,999.99,SUM($B$10:K10)/(SUM($B$6:K6)+SUM($B$9:K9))),"")</f>
        <v>0.2387763889512118</v>
      </c>
      <c r="L12" s="82">
        <f>IF(L13="Yes",IF(SUM($B$10:L10)/(SUM($B$6:L6)+SUM($B$9:L9))&lt;0,999.99,SUM($B$10:L10)/(SUM($B$6:L6)+SUM($B$9:L9))),"")</f>
        <v>0.2467209142883012</v>
      </c>
      <c r="M12" s="82">
        <f>IF(M13="Yes",IF(SUM($B$10:M10)/(SUM($B$6:M6)+SUM($B$9:M9))&lt;0,999.99,SUM($B$10:M10)/(SUM($B$6:M6)+SUM($B$9:M9))),"")</f>
        <v>0.2570268545630008</v>
      </c>
      <c r="N12" s="82">
        <f>IF(N13="Yes",IF(SUM($B$10:N10)/(SUM($B$6:N6)+SUM($B$9:N9))&lt;0,999.99,SUM($B$10:N10)/(SUM($B$6:N6)+SUM($B$9:N9))),"")</f>
        <v>0.2648273396707276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6696.0912609751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6696.0912609751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6696.0912609751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6696.0912609751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13392.1825219502</v>
      </c>
      <c r="AA18" s="36">
        <f>SUM(B18:M18)</f>
        <v>13392.1825219502</v>
      </c>
      <c r="AB18" s="36">
        <f>SUM(B18:Y18)</f>
        <v>26784.3650439004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37889.73370779132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37889.73370779132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37889.73370779132</v>
      </c>
      <c r="AA19" s="36">
        <f>SUM(B19:M19)</f>
        <v>37889.73370779132</v>
      </c>
      <c r="AB19" s="36">
        <f>SUM(B19:Y19)</f>
        <v>75779.46741558264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40116.54135338346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3389.285714285714</v>
      </c>
      <c r="C25" s="36">
        <f>IFERROR(Calculations!$P15/12,"")</f>
        <v>3389.285714285714</v>
      </c>
      <c r="D25" s="36">
        <f>IFERROR(Calculations!$P15/12,"")</f>
        <v>3389.285714285714</v>
      </c>
      <c r="E25" s="36">
        <f>IFERROR(Calculations!$P15/12,"")</f>
        <v>3389.285714285714</v>
      </c>
      <c r="F25" s="36">
        <f>IFERROR(Calculations!$P15/12,"")</f>
        <v>3389.285714285714</v>
      </c>
      <c r="G25" s="36">
        <f>IFERROR(Calculations!$P15/12,"")</f>
        <v>3389.285714285714</v>
      </c>
      <c r="H25" s="36">
        <f>IFERROR(Calculations!$P15/12,"")</f>
        <v>3389.285714285714</v>
      </c>
      <c r="I25" s="36">
        <f>IFERROR(Calculations!$P15/12,"")</f>
        <v>3389.285714285714</v>
      </c>
      <c r="J25" s="36">
        <f>IFERROR(Calculations!$P15/12,"")</f>
        <v>3389.285714285714</v>
      </c>
      <c r="K25" s="36">
        <f>IFERROR(Calculations!$P15/12,"")</f>
        <v>3389.285714285714</v>
      </c>
      <c r="L25" s="36">
        <f>IFERROR(Calculations!$P15/12,"")</f>
        <v>3389.285714285714</v>
      </c>
      <c r="M25" s="36">
        <f>IFERROR(Calculations!$P15/12,"")</f>
        <v>3389.285714285714</v>
      </c>
      <c r="N25" s="36">
        <f>IFERROR(Calculations!$P15/12,"")</f>
        <v>3389.285714285714</v>
      </c>
      <c r="O25" s="36">
        <f>IFERROR(Calculations!$P15/12,"")</f>
        <v>3389.285714285714</v>
      </c>
      <c r="P25" s="36">
        <f>IFERROR(Calculations!$P15/12,"")</f>
        <v>3389.285714285714</v>
      </c>
      <c r="Q25" s="36">
        <f>IFERROR(Calculations!$P15/12,"")</f>
        <v>3389.285714285714</v>
      </c>
      <c r="R25" s="36">
        <f>IFERROR(Calculations!$P15/12,"")</f>
        <v>3389.285714285714</v>
      </c>
      <c r="S25" s="36">
        <f>IFERROR(Calculations!$P15/12,"")</f>
        <v>3389.285714285714</v>
      </c>
      <c r="T25" s="36">
        <f>IFERROR(Calculations!$P15/12,"")</f>
        <v>3389.285714285714</v>
      </c>
      <c r="U25" s="36">
        <f>IFERROR(Calculations!$P15/12,"")</f>
        <v>3389.285714285714</v>
      </c>
      <c r="V25" s="36">
        <f>IFERROR(Calculations!$P15/12,"")</f>
        <v>3389.285714285714</v>
      </c>
      <c r="W25" s="36">
        <f>IFERROR(Calculations!$P15/12,"")</f>
        <v>3389.285714285714</v>
      </c>
      <c r="X25" s="36">
        <f>IFERROR(Calculations!$P15/12,"")</f>
        <v>3389.285714285714</v>
      </c>
      <c r="Y25" s="36">
        <f>IFERROR(Calculations!$P15/12,"")</f>
        <v>3389.285714285714</v>
      </c>
      <c r="Z25" s="36">
        <f>SUMIF($B$13:$Y$13,"Yes",B25:Y25)</f>
        <v>44060.71428571428</v>
      </c>
      <c r="AA25" s="36">
        <f>SUM(B25:M25)</f>
        <v>40671.42857142857</v>
      </c>
      <c r="AB25" s="46">
        <f>SUM(B25:Y25)</f>
        <v>81342.85714285709</v>
      </c>
    </row>
    <row r="26" spans="1:30">
      <c r="A26" s="43">
        <f>IF(Inputs!A21="","",IF(Inputs!A21=Parameters!$A$30,Inputs!B21,Inputs!A21))</f>
        <v/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4875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4875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51295.53571428571</v>
      </c>
      <c r="C30" s="19">
        <f>SUM(C18:C29)</f>
        <v>51295.53571428571</v>
      </c>
      <c r="D30" s="19">
        <f>SUM(D18:D29)</f>
        <v>51295.53571428571</v>
      </c>
      <c r="E30" s="19">
        <f>SUM(E18:E29)</f>
        <v>57991.62697526082</v>
      </c>
      <c r="F30" s="19">
        <f>SUM(F18:F29)</f>
        <v>51295.53571428571</v>
      </c>
      <c r="G30" s="19">
        <f>SUM(G18:G29)</f>
        <v>51295.53571428571</v>
      </c>
      <c r="H30" s="19">
        <f>SUM(H18:H29)</f>
        <v>51295.53571428571</v>
      </c>
      <c r="I30" s="19">
        <f>SUM(I18:I29)</f>
        <v>89185.26942207702</v>
      </c>
      <c r="J30" s="19">
        <f>SUM(J18:J29)</f>
        <v>51295.53571428571</v>
      </c>
      <c r="K30" s="19">
        <f>SUM(K18:K29)</f>
        <v>57991.62697526082</v>
      </c>
      <c r="L30" s="19">
        <f>SUM(L18:L29)</f>
        <v>51295.53571428571</v>
      </c>
      <c r="M30" s="19">
        <f>SUM(M18:M29)</f>
        <v>51295.53571428571</v>
      </c>
      <c r="N30" s="19">
        <f>SUM(N18:N29)</f>
        <v>51295.53571428571</v>
      </c>
      <c r="O30" s="19">
        <f>SUM(O18:O29)</f>
        <v>51295.53571428571</v>
      </c>
      <c r="P30" s="19">
        <f>SUM(P18:P29)</f>
        <v>51295.53571428571</v>
      </c>
      <c r="Q30" s="19">
        <f>SUM(Q18:Q29)</f>
        <v>57991.62697526082</v>
      </c>
      <c r="R30" s="19">
        <f>SUM(R18:R29)</f>
        <v>51295.53571428571</v>
      </c>
      <c r="S30" s="19">
        <f>SUM(S18:S29)</f>
        <v>56170.53571428571</v>
      </c>
      <c r="T30" s="19">
        <f>SUM(T18:T29)</f>
        <v>51295.53571428571</v>
      </c>
      <c r="U30" s="19">
        <f>SUM(U18:U29)</f>
        <v>89185.26942207702</v>
      </c>
      <c r="V30" s="19">
        <f>SUM(V18:V29)</f>
        <v>51295.53571428571</v>
      </c>
      <c r="W30" s="19">
        <f>SUM(W18:W29)</f>
        <v>57991.62697526082</v>
      </c>
      <c r="X30" s="19">
        <f>SUM(X18:X29)</f>
        <v>51295.53571428571</v>
      </c>
      <c r="Y30" s="19">
        <f>SUM(Y18:Y29)</f>
        <v>51295.53571428571</v>
      </c>
      <c r="Z30" s="19">
        <f>SUMIF($B$13:$Y$13,"Yes",B30:Y30)</f>
        <v>718123.8805154555</v>
      </c>
      <c r="AA30" s="19">
        <f>SUM(B30:M30)</f>
        <v>666828.3448011698</v>
      </c>
      <c r="AB30" s="19">
        <f>SUM(B30:Y30)</f>
        <v>1338531.68960234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2500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2500</v>
      </c>
      <c r="N42" s="36">
        <f>SUM(N43:N47)</f>
        <v>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2500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2500</v>
      </c>
      <c r="Z42" s="36">
        <f>SUMIF($B$13:$Y$13,"Yes",B42:Y42)</f>
        <v>5606</v>
      </c>
      <c r="AA42" s="36">
        <f>SUM(B42:M42)</f>
        <v>5606</v>
      </c>
      <c r="AB42" s="36">
        <f>SUM(B42:Y42)</f>
        <v>11212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2500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2500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2500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2500</v>
      </c>
      <c r="Z43" s="36">
        <f>SUMIF($B$13:$Y$13,"Yes",B43:Y43)</f>
        <v>5000</v>
      </c>
      <c r="AA43" s="36">
        <f>SUM(B43:M43)</f>
        <v>5000</v>
      </c>
      <c r="AB43" s="36">
        <f>SUM(B43:Y43)</f>
        <v>10000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606.0000000000001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606.0000000000001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606.0000000000001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3000</v>
      </c>
      <c r="D48" s="36">
        <f>P48</f>
        <v>0</v>
      </c>
      <c r="E48" s="36">
        <f>Q48</f>
        <v>0</v>
      </c>
      <c r="F48" s="36">
        <f>R48</f>
        <v>600</v>
      </c>
      <c r="G48" s="36">
        <f>S48</f>
        <v>0</v>
      </c>
      <c r="H48" s="36">
        <f>T48</f>
        <v>0</v>
      </c>
      <c r="I48" s="36">
        <f>U48</f>
        <v>3000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3000</v>
      </c>
      <c r="P48" s="46">
        <f>SUM(P49:P53)</f>
        <v>0</v>
      </c>
      <c r="Q48" s="46">
        <f>SUM(Q49:Q53)</f>
        <v>0</v>
      </c>
      <c r="R48" s="46">
        <f>SUM(R49:R53)</f>
        <v>600</v>
      </c>
      <c r="S48" s="46">
        <f>SUM(S49:S53)</f>
        <v>0</v>
      </c>
      <c r="T48" s="46">
        <f>SUM(T49:T53)</f>
        <v>0</v>
      </c>
      <c r="U48" s="46">
        <f>SUM(U49:U53)</f>
        <v>3000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6600</v>
      </c>
      <c r="AA48" s="46">
        <f>SUM(B48:M48)</f>
        <v>6600</v>
      </c>
      <c r="AB48" s="46">
        <f>SUM(B48:Y48)</f>
        <v>13200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3000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3000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3000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3000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600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600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3240</v>
      </c>
      <c r="C66" s="36">
        <f>O66</f>
        <v>6017.142857142857</v>
      </c>
      <c r="D66" s="36">
        <f>P66</f>
        <v>6017.142857142857</v>
      </c>
      <c r="E66" s="36">
        <f>Q66</f>
        <v>6017.142857142857</v>
      </c>
      <c r="F66" s="36">
        <f>R66</f>
        <v>2777.142857142857</v>
      </c>
      <c r="G66" s="36">
        <f>S66</f>
        <v>6017.142857142857</v>
      </c>
      <c r="H66" s="36">
        <f>T66</f>
        <v>6017.142857142857</v>
      </c>
      <c r="I66" s="36">
        <f>U66</f>
        <v>6017.142857142857</v>
      </c>
      <c r="J66" s="36">
        <f>V66</f>
        <v>3240</v>
      </c>
      <c r="K66" s="36">
        <f>W66</f>
        <v>3240</v>
      </c>
      <c r="L66" s="36">
        <f>X66</f>
        <v>0</v>
      </c>
      <c r="M66" s="36">
        <f>Y66</f>
        <v>3240</v>
      </c>
      <c r="N66" s="46">
        <f>SUM(N67:N71)</f>
        <v>3240</v>
      </c>
      <c r="O66" s="46">
        <f>SUM(O67:O71)</f>
        <v>6017.142857142857</v>
      </c>
      <c r="P66" s="46">
        <f>SUM(P67:P71)</f>
        <v>6017.142857142857</v>
      </c>
      <c r="Q66" s="46">
        <f>SUM(Q67:Q71)</f>
        <v>6017.142857142857</v>
      </c>
      <c r="R66" s="46">
        <f>SUM(R67:R71)</f>
        <v>2777.142857142857</v>
      </c>
      <c r="S66" s="46">
        <f>SUM(S67:S71)</f>
        <v>6017.142857142857</v>
      </c>
      <c r="T66" s="46">
        <f>SUM(T67:T71)</f>
        <v>6017.142857142857</v>
      </c>
      <c r="U66" s="46">
        <f>SUM(U67:U71)</f>
        <v>6017.142857142857</v>
      </c>
      <c r="V66" s="46">
        <f>SUM(V67:V71)</f>
        <v>3240</v>
      </c>
      <c r="W66" s="46">
        <f>SUM(W67:W71)</f>
        <v>3240</v>
      </c>
      <c r="X66" s="46">
        <f>SUM(X67:X71)</f>
        <v>0</v>
      </c>
      <c r="Y66" s="46">
        <f>SUM(Y67:Y71)</f>
        <v>3240</v>
      </c>
      <c r="Z66" s="46">
        <f>SUMIF($B$13:$Y$13,"Yes",B66:Y66)</f>
        <v>55080</v>
      </c>
      <c r="AA66" s="46">
        <f>SUM(B66:M66)</f>
        <v>51840</v>
      </c>
      <c r="AB66" s="46">
        <f>SUM(B66:Y66)</f>
        <v>103680</v>
      </c>
    </row>
    <row r="67" spans="1:30" hidden="true" outlineLevel="1">
      <c r="A67" s="181" t="str">
        <f>Calculations!$A$4</f>
        <v>Beans</v>
      </c>
      <c r="B67" s="36">
        <f>N67</f>
        <v>3240</v>
      </c>
      <c r="C67" s="36">
        <f>O67</f>
        <v>3240</v>
      </c>
      <c r="D67" s="36">
        <f>P67</f>
        <v>3240</v>
      </c>
      <c r="E67" s="36">
        <f>Q67</f>
        <v>3240</v>
      </c>
      <c r="F67" s="36">
        <f>R67</f>
        <v>0</v>
      </c>
      <c r="G67" s="36">
        <f>S67</f>
        <v>3240</v>
      </c>
      <c r="H67" s="36">
        <f>T67</f>
        <v>3240</v>
      </c>
      <c r="I67" s="36">
        <f>U67</f>
        <v>3240</v>
      </c>
      <c r="J67" s="36">
        <f>V67</f>
        <v>3240</v>
      </c>
      <c r="K67" s="36">
        <f>W67</f>
        <v>3240</v>
      </c>
      <c r="L67" s="36">
        <f>X67</f>
        <v>0</v>
      </c>
      <c r="M67" s="36">
        <f>Y67</f>
        <v>3240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3240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3240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3240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3240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3240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3240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3240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3240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3240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3240</v>
      </c>
      <c r="Z67" s="46">
        <f>SUMIF($B$13:$Y$13,"Yes",B67:Y67)</f>
        <v>35640</v>
      </c>
      <c r="AA67" s="46">
        <f>SUM(B67:M67)</f>
        <v>32400</v>
      </c>
      <c r="AB67" s="46">
        <f>SUM(B67:Y67)</f>
        <v>64800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2777.142857142857</v>
      </c>
      <c r="D68" s="36">
        <f>P68</f>
        <v>2777.142857142857</v>
      </c>
      <c r="E68" s="36">
        <f>Q68</f>
        <v>2777.142857142857</v>
      </c>
      <c r="F68" s="36">
        <f>R68</f>
        <v>2777.142857142857</v>
      </c>
      <c r="G68" s="36">
        <f>S68</f>
        <v>2777.142857142857</v>
      </c>
      <c r="H68" s="36">
        <f>T68</f>
        <v>2777.142857142857</v>
      </c>
      <c r="I68" s="36">
        <f>U68</f>
        <v>2777.142857142857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2777.142857142857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2777.142857142857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2777.142857142857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2777.142857142857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2777.142857142857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2777.142857142857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2777.142857142857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19440</v>
      </c>
      <c r="AA68" s="46">
        <f>SUM(B68:M68)</f>
        <v>19440</v>
      </c>
      <c r="AB68" s="46">
        <f>SUM(B68:Y68)</f>
        <v>38880.00000000001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2737.5</v>
      </c>
      <c r="C74" s="46">
        <f>SUM(Calculations!$Q$14:$Q$16)/12</f>
        <v>2737.5</v>
      </c>
      <c r="D74" s="46">
        <f>SUM(Calculations!$Q$14:$Q$16)/12</f>
        <v>2737.5</v>
      </c>
      <c r="E74" s="46">
        <f>SUM(Calculations!$Q$14:$Q$16)/12</f>
        <v>2737.5</v>
      </c>
      <c r="F74" s="46">
        <f>SUM(Calculations!$Q$14:$Q$16)/12</f>
        <v>2737.5</v>
      </c>
      <c r="G74" s="46">
        <f>SUM(Calculations!$Q$14:$Q$16)/12</f>
        <v>2737.5</v>
      </c>
      <c r="H74" s="46">
        <f>SUM(Calculations!$Q$14:$Q$16)/12</f>
        <v>2737.5</v>
      </c>
      <c r="I74" s="46">
        <f>SUM(Calculations!$Q$14:$Q$16)/12</f>
        <v>2737.5</v>
      </c>
      <c r="J74" s="46">
        <f>SUM(Calculations!$Q$14:$Q$16)/12</f>
        <v>2737.5</v>
      </c>
      <c r="K74" s="46">
        <f>SUM(Calculations!$Q$14:$Q$16)/12</f>
        <v>2737.5</v>
      </c>
      <c r="L74" s="46">
        <f>SUM(Calculations!$Q$14:$Q$16)/12</f>
        <v>2737.5</v>
      </c>
      <c r="M74" s="46">
        <f>SUM(Calculations!$Q$14:$Q$16)/12</f>
        <v>2737.5</v>
      </c>
      <c r="N74" s="46">
        <f>SUM(Calculations!$Q$14:$Q$16)/12</f>
        <v>2737.5</v>
      </c>
      <c r="O74" s="46">
        <f>SUM(Calculations!$Q$14:$Q$16)/12</f>
        <v>2737.5</v>
      </c>
      <c r="P74" s="46">
        <f>SUM(Calculations!$Q$14:$Q$16)/12</f>
        <v>2737.5</v>
      </c>
      <c r="Q74" s="46">
        <f>SUM(Calculations!$Q$14:$Q$16)/12</f>
        <v>2737.5</v>
      </c>
      <c r="R74" s="46">
        <f>SUM(Calculations!$Q$14:$Q$16)/12</f>
        <v>2737.5</v>
      </c>
      <c r="S74" s="46">
        <f>SUM(Calculations!$Q$14:$Q$16)/12</f>
        <v>2737.5</v>
      </c>
      <c r="T74" s="46">
        <f>SUM(Calculations!$Q$14:$Q$16)/12</f>
        <v>2737.5</v>
      </c>
      <c r="U74" s="46">
        <f>SUM(Calculations!$Q$14:$Q$16)/12</f>
        <v>2737.5</v>
      </c>
      <c r="V74" s="46">
        <f>SUM(Calculations!$Q$14:$Q$16)/12</f>
        <v>2737.5</v>
      </c>
      <c r="W74" s="46">
        <f>SUM(Calculations!$Q$14:$Q$16)/12</f>
        <v>2737.5</v>
      </c>
      <c r="X74" s="46">
        <f>SUM(Calculations!$Q$14:$Q$16)/12</f>
        <v>2737.5</v>
      </c>
      <c r="Y74" s="46">
        <f>SUM(Calculations!$Q$14:$Q$16)/12</f>
        <v>2737.5</v>
      </c>
      <c r="Z74" s="46">
        <f>SUMIF($B$13:$Y$13,"Yes",B74:Y74)</f>
        <v>35587.5</v>
      </c>
      <c r="AA74" s="46">
        <f>SUM(B74:M74)</f>
        <v>32850</v>
      </c>
      <c r="AB74" s="46">
        <f>SUM(B74:Y74)</f>
        <v>65700</v>
      </c>
    </row>
    <row r="75" spans="1:30">
      <c r="A75" s="16" t="s">
        <v>47</v>
      </c>
      <c r="B75" s="46">
        <f>SUM(Calculations!$R$14:$R$16)/12</f>
        <v>271.3333333333333</v>
      </c>
      <c r="C75" s="46">
        <f>SUM(Calculations!$R$14:$R$16)/12</f>
        <v>271.3333333333333</v>
      </c>
      <c r="D75" s="46">
        <f>SUM(Calculations!$R$14:$R$16)/12</f>
        <v>271.3333333333333</v>
      </c>
      <c r="E75" s="46">
        <f>SUM(Calculations!$R$14:$R$16)/12</f>
        <v>271.3333333333333</v>
      </c>
      <c r="F75" s="46">
        <f>SUM(Calculations!$R$14:$R$16)/12</f>
        <v>271.3333333333333</v>
      </c>
      <c r="G75" s="46">
        <f>SUM(Calculations!$R$14:$R$16)/12</f>
        <v>271.3333333333333</v>
      </c>
      <c r="H75" s="46">
        <f>SUM(Calculations!$R$14:$R$16)/12</f>
        <v>271.3333333333333</v>
      </c>
      <c r="I75" s="46">
        <f>SUM(Calculations!$R$14:$R$16)/12</f>
        <v>271.3333333333333</v>
      </c>
      <c r="J75" s="46">
        <f>SUM(Calculations!$R$14:$R$16)/12</f>
        <v>271.3333333333333</v>
      </c>
      <c r="K75" s="46">
        <f>SUM(Calculations!$R$14:$R$16)/12</f>
        <v>271.3333333333333</v>
      </c>
      <c r="L75" s="46">
        <f>SUM(Calculations!$R$14:$R$16)/12</f>
        <v>271.3333333333333</v>
      </c>
      <c r="M75" s="46">
        <f>SUM(Calculations!$R$14:$R$16)/12</f>
        <v>271.3333333333333</v>
      </c>
      <c r="N75" s="46">
        <f>SUM(Calculations!$R$14:$R$16)/12</f>
        <v>271.3333333333333</v>
      </c>
      <c r="O75" s="46">
        <f>SUM(Calculations!$R$14:$R$16)/12</f>
        <v>271.3333333333333</v>
      </c>
      <c r="P75" s="46">
        <f>SUM(Calculations!$R$14:$R$16)/12</f>
        <v>271.3333333333333</v>
      </c>
      <c r="Q75" s="46">
        <f>SUM(Calculations!$R$14:$R$16)/12</f>
        <v>271.3333333333333</v>
      </c>
      <c r="R75" s="46">
        <f>SUM(Calculations!$R$14:$R$16)/12</f>
        <v>271.3333333333333</v>
      </c>
      <c r="S75" s="46">
        <f>SUM(Calculations!$R$14:$R$16)/12</f>
        <v>271.3333333333333</v>
      </c>
      <c r="T75" s="46">
        <f>SUM(Calculations!$R$14:$R$16)/12</f>
        <v>271.3333333333333</v>
      </c>
      <c r="U75" s="46">
        <f>SUM(Calculations!$R$14:$R$16)/12</f>
        <v>271.3333333333333</v>
      </c>
      <c r="V75" s="46">
        <f>SUM(Calculations!$R$14:$R$16)/12</f>
        <v>271.3333333333333</v>
      </c>
      <c r="W75" s="46">
        <f>SUM(Calculations!$R$14:$R$16)/12</f>
        <v>271.3333333333333</v>
      </c>
      <c r="X75" s="46">
        <f>SUM(Calculations!$R$14:$R$16)/12</f>
        <v>271.3333333333333</v>
      </c>
      <c r="Y75" s="46">
        <f>SUM(Calculations!$R$14:$R$16)/12</f>
        <v>271.3333333333333</v>
      </c>
      <c r="Z75" s="46">
        <f>SUMIF($B$13:$Y$13,"Yes",B75:Y75)</f>
        <v>3527.333333333334</v>
      </c>
      <c r="AA75" s="46">
        <f>SUM(B75:M75)</f>
        <v>3256</v>
      </c>
      <c r="AB75" s="46">
        <f>SUM(B75:Y75)</f>
        <v>6511.999999999998</v>
      </c>
    </row>
    <row r="76" spans="1:30">
      <c r="A76" s="16" t="s">
        <v>48</v>
      </c>
      <c r="B76" s="46">
        <f>SUM(Calculations!$S$14:$S$16)/12</f>
        <v>1671.522556390977</v>
      </c>
      <c r="C76" s="46">
        <f>SUM(Calculations!$S$14:$S$16)/12</f>
        <v>1671.522556390977</v>
      </c>
      <c r="D76" s="46">
        <f>SUM(Calculations!$S$14:$S$16)/12</f>
        <v>1671.522556390977</v>
      </c>
      <c r="E76" s="46">
        <f>SUM(Calculations!$S$14:$S$16)/12</f>
        <v>1671.522556390977</v>
      </c>
      <c r="F76" s="46">
        <f>SUM(Calculations!$S$14:$S$16)/12</f>
        <v>1671.522556390977</v>
      </c>
      <c r="G76" s="46">
        <f>SUM(Calculations!$S$14:$S$16)/12</f>
        <v>1671.522556390977</v>
      </c>
      <c r="H76" s="46">
        <f>SUM(Calculations!$S$14:$S$16)/12</f>
        <v>1671.522556390977</v>
      </c>
      <c r="I76" s="46">
        <f>SUM(Calculations!$S$14:$S$16)/12</f>
        <v>1671.522556390977</v>
      </c>
      <c r="J76" s="46">
        <f>SUM(Calculations!$S$14:$S$16)/12</f>
        <v>1671.522556390977</v>
      </c>
      <c r="K76" s="46">
        <f>SUM(Calculations!$S$14:$S$16)/12</f>
        <v>1671.522556390977</v>
      </c>
      <c r="L76" s="46">
        <f>SUM(Calculations!$S$14:$S$16)/12</f>
        <v>1671.522556390977</v>
      </c>
      <c r="M76" s="46">
        <f>SUM(Calculations!$S$14:$S$16)/12</f>
        <v>1671.522556390977</v>
      </c>
      <c r="N76" s="46">
        <f>SUM(Calculations!$S$14:$S$16)/12</f>
        <v>1671.522556390977</v>
      </c>
      <c r="O76" s="46">
        <f>SUM(Calculations!$S$14:$S$16)/12</f>
        <v>1671.522556390977</v>
      </c>
      <c r="P76" s="46">
        <f>SUM(Calculations!$S$14:$S$16)/12</f>
        <v>1671.522556390977</v>
      </c>
      <c r="Q76" s="46">
        <f>SUM(Calculations!$S$14:$S$16)/12</f>
        <v>1671.522556390977</v>
      </c>
      <c r="R76" s="46">
        <f>SUM(Calculations!$S$14:$S$16)/12</f>
        <v>1671.522556390977</v>
      </c>
      <c r="S76" s="46">
        <f>SUM(Calculations!$S$14:$S$16)/12</f>
        <v>1671.522556390977</v>
      </c>
      <c r="T76" s="46">
        <f>SUM(Calculations!$S$14:$S$16)/12</f>
        <v>1671.522556390977</v>
      </c>
      <c r="U76" s="46">
        <f>SUM(Calculations!$S$14:$S$16)/12</f>
        <v>1671.522556390977</v>
      </c>
      <c r="V76" s="46">
        <f>SUM(Calculations!$S$14:$S$16)/12</f>
        <v>1671.522556390977</v>
      </c>
      <c r="W76" s="46">
        <f>SUM(Calculations!$S$14:$S$16)/12</f>
        <v>1671.522556390977</v>
      </c>
      <c r="X76" s="46">
        <f>SUM(Calculations!$S$14:$S$16)/12</f>
        <v>1671.522556390977</v>
      </c>
      <c r="Y76" s="46">
        <f>SUM(Calculations!$S$14:$S$16)/12</f>
        <v>1671.522556390977</v>
      </c>
      <c r="Z76" s="46">
        <f>SUMIF($B$13:$Y$13,"Yes",B76:Y76)</f>
        <v>21729.79323308271</v>
      </c>
      <c r="AA76" s="46">
        <f>SUM(B76:M76)</f>
        <v>20058.27067669173</v>
      </c>
      <c r="AB76" s="46">
        <f>SUM(B76:Y76)</f>
        <v>40116.54135338346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18220.60247081594</v>
      </c>
      <c r="C81" s="46">
        <f>(SUM($AA$18:$AA$29)-SUM($AA$36,$AA$42,$AA$48,$AA$54,$AA$60,$AA$66,$AA$72:$AA$79))*Parameters!$B$37/12</f>
        <v>18220.60247081594</v>
      </c>
      <c r="D81" s="46">
        <f>(SUM($AA$18:$AA$29)-SUM($AA$36,$AA$42,$AA$48,$AA$54,$AA$60,$AA$66,$AA$72:$AA$79))*Parameters!$B$37/12</f>
        <v>18220.60247081594</v>
      </c>
      <c r="E81" s="46">
        <f>(SUM($AA$18:$AA$29)-SUM($AA$36,$AA$42,$AA$48,$AA$54,$AA$60,$AA$66,$AA$72:$AA$79))*Parameters!$B$37/12</f>
        <v>18220.60247081594</v>
      </c>
      <c r="F81" s="46">
        <f>(SUM($AA$18:$AA$29)-SUM($AA$36,$AA$42,$AA$48,$AA$54,$AA$60,$AA$66,$AA$72:$AA$79))*Parameters!$B$37/12</f>
        <v>18220.60247081594</v>
      </c>
      <c r="G81" s="46">
        <f>(SUM($AA$18:$AA$29)-SUM($AA$36,$AA$42,$AA$48,$AA$54,$AA$60,$AA$66,$AA$72:$AA$79))*Parameters!$B$37/12</f>
        <v>18220.60247081594</v>
      </c>
      <c r="H81" s="46">
        <f>(SUM($AA$18:$AA$29)-SUM($AA$36,$AA$42,$AA$48,$AA$54,$AA$60,$AA$66,$AA$72:$AA$79))*Parameters!$B$37/12</f>
        <v>18220.60247081594</v>
      </c>
      <c r="I81" s="46">
        <f>(SUM($AA$18:$AA$29)-SUM($AA$36,$AA$42,$AA$48,$AA$54,$AA$60,$AA$66,$AA$72:$AA$79))*Parameters!$B$37/12</f>
        <v>18220.60247081594</v>
      </c>
      <c r="J81" s="46">
        <f>(SUM($AA$18:$AA$29)-SUM($AA$36,$AA$42,$AA$48,$AA$54,$AA$60,$AA$66,$AA$72:$AA$79))*Parameters!$B$37/12</f>
        <v>18220.60247081594</v>
      </c>
      <c r="K81" s="46">
        <f>(SUM($AA$18:$AA$29)-SUM($AA$36,$AA$42,$AA$48,$AA$54,$AA$60,$AA$66,$AA$72:$AA$79))*Parameters!$B$37/12</f>
        <v>18220.60247081594</v>
      </c>
      <c r="L81" s="46">
        <f>(SUM($AA$18:$AA$29)-SUM($AA$36,$AA$42,$AA$48,$AA$54,$AA$60,$AA$66,$AA$72:$AA$79))*Parameters!$B$37/12</f>
        <v>18220.60247081594</v>
      </c>
      <c r="M81" s="46">
        <f>(SUM($AA$18:$AA$29)-SUM($AA$36,$AA$42,$AA$48,$AA$54,$AA$60,$AA$66,$AA$72:$AA$79))*Parameters!$B$37/12</f>
        <v>18220.60247081594</v>
      </c>
      <c r="N81" s="46">
        <f>(SUM($AA$18:$AA$29)-SUM($AA$36,$AA$42,$AA$48,$AA$54,$AA$60,$AA$66,$AA$72:$AA$79))*Parameters!$B$37/12</f>
        <v>18220.60247081594</v>
      </c>
      <c r="O81" s="46">
        <f>(SUM($AA$18:$AA$29)-SUM($AA$36,$AA$42,$AA$48,$AA$54,$AA$60,$AA$66,$AA$72:$AA$79))*Parameters!$B$37/12</f>
        <v>18220.60247081594</v>
      </c>
      <c r="P81" s="46">
        <f>(SUM($AA$18:$AA$29)-SUM($AA$36,$AA$42,$AA$48,$AA$54,$AA$60,$AA$66,$AA$72:$AA$79))*Parameters!$B$37/12</f>
        <v>18220.60247081594</v>
      </c>
      <c r="Q81" s="46">
        <f>(SUM($AA$18:$AA$29)-SUM($AA$36,$AA$42,$AA$48,$AA$54,$AA$60,$AA$66,$AA$72:$AA$79))*Parameters!$B$37/12</f>
        <v>18220.60247081594</v>
      </c>
      <c r="R81" s="46">
        <f>(SUM($AA$18:$AA$29)-SUM($AA$36,$AA$42,$AA$48,$AA$54,$AA$60,$AA$66,$AA$72:$AA$79))*Parameters!$B$37/12</f>
        <v>18220.60247081594</v>
      </c>
      <c r="S81" s="46">
        <f>(SUM($AA$18:$AA$29)-SUM($AA$36,$AA$42,$AA$48,$AA$54,$AA$60,$AA$66,$AA$72:$AA$79))*Parameters!$B$37/12</f>
        <v>18220.60247081594</v>
      </c>
      <c r="T81" s="46">
        <f>(SUM($AA$18:$AA$29)-SUM($AA$36,$AA$42,$AA$48,$AA$54,$AA$60,$AA$66,$AA$72:$AA$79))*Parameters!$B$37/12</f>
        <v>18220.60247081594</v>
      </c>
      <c r="U81" s="46">
        <f>(SUM($AA$18:$AA$29)-SUM($AA$36,$AA$42,$AA$48,$AA$54,$AA$60,$AA$66,$AA$72:$AA$79))*Parameters!$B$37/12</f>
        <v>18220.60247081594</v>
      </c>
      <c r="V81" s="46">
        <f>(SUM($AA$18:$AA$29)-SUM($AA$36,$AA$42,$AA$48,$AA$54,$AA$60,$AA$66,$AA$72:$AA$79))*Parameters!$B$37/12</f>
        <v>18220.60247081594</v>
      </c>
      <c r="W81" s="46">
        <f>(SUM($AA$18:$AA$29)-SUM($AA$36,$AA$42,$AA$48,$AA$54,$AA$60,$AA$66,$AA$72:$AA$79))*Parameters!$B$37/12</f>
        <v>18220.60247081594</v>
      </c>
      <c r="X81" s="46">
        <f>(SUM($AA$18:$AA$29)-SUM($AA$36,$AA$42,$AA$48,$AA$54,$AA$60,$AA$66,$AA$72:$AA$79))*Parameters!$B$37/12</f>
        <v>18220.60247081594</v>
      </c>
      <c r="Y81" s="46">
        <f>(SUM($AA$18:$AA$29)-SUM($AA$36,$AA$42,$AA$48,$AA$54,$AA$60,$AA$66,$AA$72:$AA$79))*Parameters!$B$37/12</f>
        <v>18220.60247081594</v>
      </c>
      <c r="Z81" s="46">
        <f>SUMIF($B$13:$Y$13,"Yes",B81:Y81)</f>
        <v>236867.8321206072</v>
      </c>
      <c r="AA81" s="46">
        <f>SUM(B81:M81)</f>
        <v>218647.2296497913</v>
      </c>
      <c r="AB81" s="46">
        <f>SUM(B81:Y81)</f>
        <v>437294.4592995826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26140.95836054025</v>
      </c>
      <c r="C88" s="19">
        <f>SUM(C72:C82,C66,C60,C54,C48,C42,C36)</f>
        <v>32524.10121768311</v>
      </c>
      <c r="D88" s="19">
        <f>SUM(D72:D82,D66,D60,D54,D48,D42,D36)</f>
        <v>28918.10121768311</v>
      </c>
      <c r="E88" s="19">
        <f>SUM(E72:E82,E66,E60,E54,E48,E42,E36)</f>
        <v>28918.10121768311</v>
      </c>
      <c r="F88" s="19">
        <f>SUM(F72:F82,F66,F60,F54,F48,F42,F36)</f>
        <v>26278.10121768311</v>
      </c>
      <c r="G88" s="19">
        <f>SUM(G72:G82,G66,G60,G54,G48,G42,G36)</f>
        <v>31418.10121768311</v>
      </c>
      <c r="H88" s="19">
        <f>SUM(H72:H82,H66,H60,H54,H48,H42,H36)</f>
        <v>28918.10121768311</v>
      </c>
      <c r="I88" s="19">
        <f>SUM(I72:I82,I66,I60,I54,I48,I42,I36)</f>
        <v>31918.10121768311</v>
      </c>
      <c r="J88" s="19">
        <f>SUM(J72:J82,J66,J60,J54,J48,J42,J36)</f>
        <v>26140.95836054025</v>
      </c>
      <c r="K88" s="19">
        <f>SUM(K72:K82,K66,K60,K54,K48,K42,K36)</f>
        <v>26140.95836054025</v>
      </c>
      <c r="L88" s="19">
        <f>SUM(L72:L82,L66,L60,L54,L48,L42,L36)</f>
        <v>22900.95836054025</v>
      </c>
      <c r="M88" s="19">
        <f>SUM(M72:M82,M66,M60,M54,M48,M42,M36)</f>
        <v>28640.95836054025</v>
      </c>
      <c r="N88" s="19">
        <f>SUM(N72:N82,N66,N60,N54,N48,N42,N36)</f>
        <v>26140.95836054025</v>
      </c>
      <c r="O88" s="19">
        <f>SUM(O72:O82,O66,O60,O54,O48,O42,O36)</f>
        <v>32524.10121768311</v>
      </c>
      <c r="P88" s="19">
        <f>SUM(P72:P82,P66,P60,P54,P48,P42,P36)</f>
        <v>28918.10121768311</v>
      </c>
      <c r="Q88" s="19">
        <f>SUM(Q72:Q82,Q66,Q60,Q54,Q48,Q42,Q36)</f>
        <v>28918.10121768311</v>
      </c>
      <c r="R88" s="19">
        <f>SUM(R72:R82,R66,R60,R54,R48,R42,R36)</f>
        <v>26278.10121768311</v>
      </c>
      <c r="S88" s="19">
        <f>SUM(S72:S82,S66,S60,S54,S48,S42,S36)</f>
        <v>31418.10121768311</v>
      </c>
      <c r="T88" s="19">
        <f>SUM(T72:T82,T66,T60,T54,T48,T42,T36)</f>
        <v>28918.10121768311</v>
      </c>
      <c r="U88" s="19">
        <f>SUM(U72:U82,U66,U60,U54,U48,U42,U36)</f>
        <v>31918.10121768311</v>
      </c>
      <c r="V88" s="19">
        <f>SUM(V72:V82,V66,V60,V54,V48,V42,V36)</f>
        <v>26140.95836054025</v>
      </c>
      <c r="W88" s="19">
        <f>SUM(W72:W82,W66,W60,W54,W48,W42,W36)</f>
        <v>26140.95836054025</v>
      </c>
      <c r="X88" s="19">
        <f>SUM(X72:X82,X66,X60,X54,X48,X42,X36)</f>
        <v>22900.95836054025</v>
      </c>
      <c r="Y88" s="19">
        <f>SUM(Y72:Y82,Y66,Y60,Y54,Y48,Y42,Y36)</f>
        <v>28640.95836054025</v>
      </c>
      <c r="Z88" s="19">
        <f>SUMIF($B$13:$Y$13,"Yes",B88:Y88)</f>
        <v>364998.4586870234</v>
      </c>
      <c r="AA88" s="19">
        <f>SUM(B88:M88)</f>
        <v>338857.5003264831</v>
      </c>
      <c r="AB88" s="19">
        <f>SUM(B88:Y88)</f>
        <v>677715.000652966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1400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613500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5000</v>
      </c>
    </row>
    <row r="100" spans="1:30" customHeight="1" ht="15.75">
      <c r="A100" s="18" t="s">
        <v>66</v>
      </c>
      <c r="B100" s="37">
        <f>Inputs!B48</f>
        <v>850000</v>
      </c>
    </row>
    <row r="101" spans="1:30" customHeight="1" ht="15.75">
      <c r="A101" s="1" t="s">
        <v>67</v>
      </c>
      <c r="B101" s="19">
        <f>SUM(B94:B100)</f>
        <v>2539900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30</v>
      </c>
      <c r="D20" s="147">
        <v>30</v>
      </c>
      <c r="E20" s="16"/>
      <c r="F20" s="147" t="s">
        <v>92</v>
      </c>
      <c r="G20" s="16"/>
      <c r="H20" s="16"/>
      <c r="I20" s="147" t="s">
        <v>112</v>
      </c>
      <c r="J20" s="147">
        <v>5</v>
      </c>
      <c r="K20" s="147">
        <v>0</v>
      </c>
      <c r="L20" s="30">
        <v>1</v>
      </c>
    </row>
    <row r="21" spans="1:48">
      <c r="A21" s="144" t="s">
        <v>114</v>
      </c>
      <c r="B21" s="23"/>
      <c r="C21" s="144">
        <v>50</v>
      </c>
      <c r="D21" s="150">
        <v>50</v>
      </c>
      <c r="E21" s="23"/>
      <c r="F21" s="150" t="s">
        <v>93</v>
      </c>
      <c r="G21" s="23"/>
      <c r="H21" s="23"/>
      <c r="I21" s="150" t="s">
        <v>115</v>
      </c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10</v>
      </c>
    </row>
    <row r="27" spans="1:48">
      <c r="A27" s="14" t="s">
        <v>118</v>
      </c>
    </row>
    <row r="29" spans="1:48">
      <c r="A29" s="45" t="s">
        <v>119</v>
      </c>
      <c r="B29" s="156"/>
    </row>
    <row r="30" spans="1:48">
      <c r="A30" s="44" t="s">
        <v>120</v>
      </c>
      <c r="B30" s="157">
        <v>0</v>
      </c>
    </row>
    <row r="31" spans="1:48">
      <c r="A31" s="5" t="s">
        <v>121</v>
      </c>
      <c r="B31" s="158">
        <v>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120000</v>
      </c>
    </row>
    <row r="46" spans="1:48" customHeight="1" ht="30">
      <c r="A46" s="57" t="s">
        <v>135</v>
      </c>
      <c r="B46" s="161">
        <v>5000</v>
      </c>
    </row>
    <row r="47" spans="1:48" customHeight="1" ht="30">
      <c r="A47" s="57" t="s">
        <v>136</v>
      </c>
      <c r="B47" s="161">
        <v>250000</v>
      </c>
    </row>
    <row r="48" spans="1:48" customHeight="1" ht="30">
      <c r="A48" s="57" t="s">
        <v>137</v>
      </c>
      <c r="B48" s="161">
        <v>850000</v>
      </c>
    </row>
    <row r="49" spans="1:48" customHeight="1" ht="30">
      <c r="A49" s="57" t="s">
        <v>138</v>
      </c>
      <c r="B49" s="161">
        <v>1400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10000</v>
      </c>
      <c r="B56" s="159">
        <v>0</v>
      </c>
      <c r="C56" s="162" t="s">
        <v>147</v>
      </c>
      <c r="D56" s="163" t="s">
        <v>148</v>
      </c>
      <c r="E56" s="163" t="s">
        <v>93</v>
      </c>
      <c r="F56" s="163" t="s">
        <v>149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151</v>
      </c>
      <c r="C65" s="10" t="s">
        <v>152</v>
      </c>
    </row>
    <row r="66" spans="1:48">
      <c r="A66" s="142" t="s">
        <v>153</v>
      </c>
      <c r="B66" s="159">
        <v>58025</v>
      </c>
      <c r="C66" s="163">
        <v>58045</v>
      </c>
      <c r="D66" s="49">
        <f>INDEX(Parameters!$D$79:$D$90,MATCH(Inputs!A66,Parameters!$C$79:$C$90,0))</f>
        <v>2</v>
      </c>
    </row>
    <row r="67" spans="1:48">
      <c r="A67" s="143" t="s">
        <v>154</v>
      </c>
      <c r="B67" s="157">
        <v>39455</v>
      </c>
      <c r="C67" s="165">
        <v>39428</v>
      </c>
      <c r="D67" s="49">
        <f>INDEX(Parameters!$D$79:$D$90,MATCH(Inputs!A67,Parameters!$C$79:$C$90,0))</f>
        <v>1</v>
      </c>
    </row>
    <row r="68" spans="1:48">
      <c r="A68" s="143" t="s">
        <v>155</v>
      </c>
      <c r="B68" s="157">
        <v>21608</v>
      </c>
      <c r="C68" s="165">
        <v>21610</v>
      </c>
      <c r="D68" s="49">
        <f>INDEX(Parameters!$D$79:$D$90,MATCH(Inputs!A68,Parameters!$C$79:$C$90,0))</f>
        <v>12</v>
      </c>
    </row>
    <row r="69" spans="1:48">
      <c r="A69" s="143" t="s">
        <v>156</v>
      </c>
      <c r="B69" s="157">
        <v>20850</v>
      </c>
      <c r="C69" s="165">
        <v>28841</v>
      </c>
      <c r="D69" s="49">
        <f>INDEX(Parameters!$D$79:$D$90,MATCH(Inputs!A69,Parameters!$C$79:$C$90,0))</f>
        <v>11</v>
      </c>
    </row>
    <row r="70" spans="1:48">
      <c r="A70" s="143" t="s">
        <v>157</v>
      </c>
      <c r="B70" s="157">
        <v>10730</v>
      </c>
      <c r="C70" s="165">
        <v>10761</v>
      </c>
      <c r="D70" s="49">
        <f>INDEX(Parameters!$D$79:$D$90,MATCH(Inputs!A70,Parameters!$C$79:$C$90,0))</f>
        <v>10</v>
      </c>
    </row>
    <row r="71" spans="1:48">
      <c r="A71" s="144" t="s">
        <v>158</v>
      </c>
      <c r="B71" s="158">
        <v>27339</v>
      </c>
      <c r="C71" s="167">
        <v>27308</v>
      </c>
      <c r="D71" s="49">
        <f>INDEX(Parameters!$D$79:$D$90,MATCH(Inputs!A71,Parameters!$C$79:$C$90,0))</f>
        <v>9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43313</v>
      </c>
      <c r="C4" s="38">
        <f>IFERROR(DATE(YEAR(B4),MONTH(B4)+ROUND(T4/2,0),DAY(B4)),B4)</f>
        <v>43374</v>
      </c>
      <c r="D4" s="38">
        <f>IFERROR(DATE(YEAR(B4),MONTH(B4)+T4,DAY(B4)),"")</f>
        <v>43435</v>
      </c>
      <c r="E4" s="38">
        <f>IFERROR(IF($S4=0,"",IF($S4=2,DATE(YEAR(B4),MONTH(B4)+6,DAY(B4)),IF($S4=1,B4,""))),"")</f>
        <v>43497</v>
      </c>
      <c r="F4" s="38">
        <f>IFERROR(IF($S4=0,"",IF($S4=2,DATE(YEAR(C4),MONTH(C4)+6,DAY(C4)),IF($S4=1,C4,""))),"")</f>
        <v>43556</v>
      </c>
      <c r="G4" s="38">
        <f>IFERROR(IF($S4=0,"",IF($S4=2,DATE(YEAR(D4),MONTH(D4)+6,DAY(D4)),IF($S4=1,D4,""))),"")</f>
        <v>43617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287.6945761965671</v>
      </c>
      <c r="M4" s="25">
        <f>L4*H4</f>
        <v>287.6945761965671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13392.1825219502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43282</v>
      </c>
      <c r="D5" s="39">
        <f>IFERROR(DATE(YEAR(B5),MONTH(B5)+T5,DAY(B5)),"")</f>
        <v>43374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43282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1899.234772320367</v>
      </c>
      <c r="M5" s="30">
        <f>L5*H5</f>
        <v>1899.234772320367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37889.73370779132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30</v>
      </c>
      <c r="E15" s="16">
        <f>Inputs!D20</f>
        <v>30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40671.42857142857</v>
      </c>
      <c r="Q15" s="64">
        <f>IFERROR(D15*INDEX(Parameters!$A$22:$P$29,MATCH(Calculations!$A15,Parameters!$A$22:$A$29,0),MATCH(Parameters!$L$22,Parameters!$A$22:$P$22,0))*IF(Inputs!I20="Always",1,IF(Inputs!I20="Sometimes",0.5,0))*365,"")</f>
        <v>5475</v>
      </c>
      <c r="R15" s="64">
        <f>IFERROR(D15*INDEX(Parameters!$A$22:$P$29,MATCH(Calculations!$A15,Parameters!$A$22:$A$29,0),MATCH(Parameters!$M$22,Parameters!$A$22:$P$22,0)),"")</f>
        <v>256</v>
      </c>
      <c r="S15" s="64">
        <f>IFERROR(D15*INDEX(Parameters!$A$22:$P$29,MATCH(Calculations!$A15,Parameters!$A$22:$A$29,0),MATCH(Parameters!$N$22,Parameters!$A$22:$P$22,0)),"")</f>
        <v>2058.270676691729</v>
      </c>
    </row>
    <row r="16" spans="1:52">
      <c r="A16" s="16" t="str">
        <f>Inputs!A21</f>
        <v>Other animals</v>
      </c>
      <c r="B16" s="16" t="str">
        <f>IFERROR(VLOOKUP(A16,Parameters!$A$23:$B$30,2,0),"")</f>
        <v>meat</v>
      </c>
      <c r="C16" s="16">
        <f>IF(Inputs!A21=Parameters!$A$30,Inputs!B21,A16&amp;": "&amp;B16)</f>
        <v>0</v>
      </c>
      <c r="D16" s="16">
        <f>Inputs!C21</f>
        <v>50</v>
      </c>
      <c r="E16" s="16">
        <f>Inputs!D21</f>
        <v>50</v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 t="str">
        <f>IFERROR(INDEX(Parameters!$A$41:$C$48,MATCH(Calculations!A16,Parameters!$A$41:$A$48,0),MATCH(Inputs!F21,Parameters!$A$41:$C$41,0)),0)</f>
        <v/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4875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164</v>
      </c>
      <c r="G33" s="128">
        <f>IF(Inputs!B79="","",DATE(YEAR(Inputs!B79),MONTH(Inputs!B79),DAY(Inputs!B79)))</f>
        <v>43160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165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231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232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113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114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113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315</v>
      </c>
      <c r="H52" s="12" t="s">
        <v>132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233</v>
      </c>
      <c r="E53" s="10" t="s">
        <v>192</v>
      </c>
      <c r="F53" s="10" t="s">
        <v>252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170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229</v>
      </c>
      <c r="J76" s="11" t="s">
        <v>349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115</v>
      </c>
      <c r="H77" s="12" t="s">
        <v>132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112</v>
      </c>
      <c r="H78" s="12" t="s">
        <v>316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170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361</v>
      </c>
      <c r="F80" s="12" t="s">
        <v>362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97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