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<sst xmlns="http://schemas.openxmlformats.org/spreadsheetml/2006/main" uniqueCount="364">
  <si>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</si>
  <si>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</si>
  <si>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</si>
  <si>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</si>
  <si>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</si>
  <si>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</si>
  <si>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</si>
  <si>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</si>
  <si>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</si>
  <si>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</si>
  <si>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</si>
  <si>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</si>
  <si>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</si>
  <si>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</si>
  <si>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</si>
  <si>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</si>
  <si>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</si>
  <si>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</si>
  <si>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</si>
  <si>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</si>
  <si>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</si>
  <si>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</si>
  <si>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</si>
  <si>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</si>
  <si>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</si>
  <si>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</si>
  <si>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</si>
  <si>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</si>
  <si>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</si>
  <si>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</si>
  <si>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</si>
  <si>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</si>
  <si>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</si>
  <si>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</si>
  <si>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</si>
  <si>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</si>
  <si>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</si>
  <si>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</si>
  <si>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</si>
  <si>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</si>
  <si>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</si>
  <si>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</si>
  <si>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</si>
  <si>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</si>
  <si>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</si>
  <si>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</si>
  <si>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</si>
  <si>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</si>
  <si>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</si>
  <si>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</si>
  <si>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</si>
  <si>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</si>
  <si>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</si>
  <si>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</si>
  <si>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</si>
  <si>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</si>
  <si>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</si>
  <si>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</si>
  <si>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</si>
  <si>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</si>
  <si>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</si>
  <si>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</si>
  <si>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</si>
  <si>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</si>
  <si>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</si>
  <si>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</si>
  <si>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</si>
  <si>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</si>
  <si>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</si>
  <si>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</si>
  <si>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</si>
  <si>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</si>
  <si>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</si>
  <si>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</si>
  <si>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</si>
  <si>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</si>
  <si>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</si>
  <si>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</si>
  <si>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</si>
  <si>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</si>
  <si>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</si>
  <si>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</si>
  <si>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</si>
  <si>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</si>
  <si>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</si>
  <si>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</si>
  <si>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</si>
  <si>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</si>
  <si>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</si>
  <si>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</si>
  <si>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Other farmers</t>
  </si>
  <si>
    <t>Yes only manure</t>
  </si>
  <si>
    <t>Yes</t>
  </si>
  <si>
    <t>No</t>
  </si>
  <si>
    <t>January</t>
  </si>
  <si>
    <t>Onions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</si>
  <si>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</si>
  <si>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</si>
  <si>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</si>
  <si>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</si>
  <si>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</si>
  <si>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</si>
  <si>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</si>
  <si>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</si>
  <si>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</si>
  <si>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</si>
  <si>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</si>
  <si>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</si>
  <si>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</si>
  <si>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</si>
  <si>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</si>
  <si>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</si>
  <si>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</si>
  <si>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</si>
  <si>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</si>
  <si>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</si>
  <si>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</si>
  <si>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</si>
  <si>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</si>
  <si>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</si>
  <si>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</si>
  <si>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</si>
  <si>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</si>
  <si>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</si>
  <si>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</si>
  <si>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</si>
  <si>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</si>
  <si>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</si>
  <si>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</si>
  <si>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</si>
  <si>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</si>
  <si>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</si>
  <si>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</si>
  <si>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</si>
  <si>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</si>
  <si>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</si>
  <si>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</si>
  <si>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</si>
  <si>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</si>
  <si>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</si>
  <si>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</si>
  <si>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</si>
  <si>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</si>
  <si>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</si>
  <si>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</si>
  <si>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</si>
  <si>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</si>
  <si>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</si>
  <si>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</si>
  <si>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</si>
  <si>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</si>
  <si>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</si>
  <si>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</si>
  <si>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2018/3/2</t>
  </si>
  <si>
    <t>Loan terms</t>
  </si>
  <si>
    <t>Expected disbursement date</t>
  </si>
  <si>
    <t>Expected first repayment date</t>
  </si>
  <si>
    <t>2018/4/13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</si>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</sst>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7.089826825307574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0.02617801047120419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-53275.65499862169</v>
      </c>
    </row>
    <row r="18" spans="1:7">
      <c r="B18" s="1" t="s">
        <v>12</v>
      </c>
      <c r="C18" s="36">
        <f>MIN(Output!B6:M6)</f>
        <v>-26977.74138896546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14123.7670282755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-26977.74138896546</v>
      </c>
      <c r="C6" s="51">
        <f>C30-C88</f>
        <v>11936.2670282755</v>
      </c>
      <c r="D6" s="51">
        <f>D30-D88</f>
        <v>14123.7670282755</v>
      </c>
      <c r="E6" s="51">
        <f>E30-E88</f>
        <v>-20290.24138896546</v>
      </c>
      <c r="F6" s="51">
        <f>F30-F88</f>
        <v>-2339.93938896546</v>
      </c>
      <c r="G6" s="51">
        <f>G30-G88</f>
        <v>-3089.93938896546</v>
      </c>
      <c r="H6" s="51">
        <f>H30-H88</f>
        <v>-26977.74138896546</v>
      </c>
      <c r="I6" s="51">
        <f>I30-I88</f>
        <v>11936.2670282755</v>
      </c>
      <c r="J6" s="51">
        <f>J30-J88</f>
        <v>14123.7670282755</v>
      </c>
      <c r="K6" s="51">
        <f>K30-K88</f>
        <v>-20290.24138896546</v>
      </c>
      <c r="L6" s="51">
        <f>L30-L88</f>
        <v>-2339.93938896546</v>
      </c>
      <c r="M6" s="51">
        <f>M30-M88</f>
        <v>-3089.93938896546</v>
      </c>
      <c r="N6" s="51">
        <f>N30-N88</f>
        <v>-26977.74138896546</v>
      </c>
      <c r="O6" s="51">
        <f>O30-O88</f>
        <v>11936.2670282755</v>
      </c>
      <c r="P6" s="51">
        <f>P30-P88</f>
        <v>14123.7670282755</v>
      </c>
      <c r="Q6" s="51">
        <f>Q30-Q88</f>
        <v>-20290.24138896546</v>
      </c>
      <c r="R6" s="51">
        <f>R30-R88</f>
        <v>-2339.93938896546</v>
      </c>
      <c r="S6" s="51">
        <f>S30-S88</f>
        <v>-3089.93938896546</v>
      </c>
      <c r="T6" s="51">
        <f>T30-T88</f>
        <v>-26977.74138896546</v>
      </c>
      <c r="U6" s="51">
        <f>U30-U88</f>
        <v>11936.2670282755</v>
      </c>
      <c r="V6" s="51">
        <f>V30-V88</f>
        <v>14123.7670282755</v>
      </c>
      <c r="W6" s="51">
        <f>W30-W88</f>
        <v>-20290.24138896546</v>
      </c>
      <c r="X6" s="51">
        <f>X30-X88</f>
        <v>-2339.93938896546</v>
      </c>
      <c r="Y6" s="51">
        <f>Y30-Y88</f>
        <v>-3089.93938896546</v>
      </c>
      <c r="Z6" s="51">
        <f>SUMIF($B$13:$Y$13,"Yes",B6:Y6)</f>
        <v>-80253.39638758716</v>
      </c>
      <c r="AA6" s="51">
        <f>AA30-AA88</f>
        <v>-53275.65499862173</v>
      </c>
      <c r="AB6" s="51">
        <f>AB30-AB88</f>
        <v>-106551.3099972435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3850</v>
      </c>
      <c r="H7" s="80">
        <f>IF(ISERROR(VLOOKUP(MONTH(H5),Inputs!$D$66:$D$71,1,0)),"",INDEX(Inputs!$B$66:$B$71,MATCH(MONTH(Output!H5),Inputs!$D$66:$D$71,0))-INDEX(Inputs!$C$66:$C$71,MATCH(MONTH(Output!H5),Inputs!$D$66:$D$71,0)))</f>
        <v>1050</v>
      </c>
      <c r="I7" s="80">
        <f>IF(ISERROR(VLOOKUP(MONTH(I5),Inputs!$D$66:$D$71,1,0)),"",INDEX(Inputs!$B$66:$B$71,MATCH(MONTH(Output!I5),Inputs!$D$66:$D$71,0))-INDEX(Inputs!$C$66:$C$71,MATCH(MONTH(Output!I5),Inputs!$D$66:$D$71,0)))</f>
        <v>1000</v>
      </c>
      <c r="J7" s="80">
        <f>IF(ISERROR(VLOOKUP(MONTH(J5),Inputs!$D$66:$D$71,1,0)),"",INDEX(Inputs!$B$66:$B$71,MATCH(MONTH(Output!J5),Inputs!$D$66:$D$71,0))-INDEX(Inputs!$C$66:$C$71,MATCH(MONTH(Output!J5),Inputs!$D$66:$D$71,0)))</f>
        <v>1145</v>
      </c>
      <c r="K7" s="80">
        <f>IF(ISERROR(VLOOKUP(MONTH(K5),Inputs!$D$66:$D$71,1,0)),"",INDEX(Inputs!$B$66:$B$71,MATCH(MONTH(Output!K5),Inputs!$D$66:$D$71,0))-INDEX(Inputs!$C$66:$C$71,MATCH(MONTH(Output!K5),Inputs!$D$66:$D$71,0)))</f>
        <v>-357</v>
      </c>
      <c r="L7" s="80">
        <f>IF(ISERROR(VLOOKUP(MONTH(L5),Inputs!$D$66:$D$71,1,0)),"",INDEX(Inputs!$B$66:$B$71,MATCH(MONTH(Output!L5),Inputs!$D$66:$D$71,0))-INDEX(Inputs!$C$66:$C$71,MATCH(MONTH(Output!L5),Inputs!$D$66:$D$71,0)))</f>
        <v>657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3850</v>
      </c>
      <c r="T7" s="80">
        <f>IF(ISERROR(VLOOKUP(MONTH(T5),Inputs!$D$66:$D$71,1,0)),"",INDEX(Inputs!$B$66:$B$71,MATCH(MONTH(Output!T5),Inputs!$D$66:$D$71,0))-INDEX(Inputs!$C$66:$C$71,MATCH(MONTH(Output!T5),Inputs!$D$66:$D$71,0)))</f>
        <v>1050</v>
      </c>
      <c r="U7" s="80">
        <f>IF(ISERROR(VLOOKUP(MONTH(U5),Inputs!$D$66:$D$71,1,0)),"",INDEX(Inputs!$B$66:$B$71,MATCH(MONTH(Output!U5),Inputs!$D$66:$D$71,0))-INDEX(Inputs!$C$66:$C$71,MATCH(MONTH(Output!U5),Inputs!$D$66:$D$71,0)))</f>
        <v>1000</v>
      </c>
      <c r="V7" s="80">
        <f>IF(ISERROR(VLOOKUP(MONTH(V5),Inputs!$D$66:$D$71,1,0)),"",INDEX(Inputs!$B$66:$B$71,MATCH(MONTH(Output!V5),Inputs!$D$66:$D$71,0))-INDEX(Inputs!$C$66:$C$71,MATCH(MONTH(Output!V5),Inputs!$D$66:$D$71,0)))</f>
        <v>1145</v>
      </c>
      <c r="W7" s="80">
        <f>IF(ISERROR(VLOOKUP(MONTH(W5),Inputs!$D$66:$D$71,1,0)),"",INDEX(Inputs!$B$66:$B$71,MATCH(MONTH(Output!W5),Inputs!$D$66:$D$71,0))-INDEX(Inputs!$C$66:$C$71,MATCH(MONTH(Output!W5),Inputs!$D$66:$D$71,0)))</f>
        <v>-357</v>
      </c>
      <c r="X7" s="80">
        <f>IF(ISERROR(VLOOKUP(MONTH(X5),Inputs!$D$66:$D$71,1,0)),"",INDEX(Inputs!$B$66:$B$71,MATCH(MONTH(Output!X5),Inputs!$D$66:$D$71,0))-INDEX(Inputs!$C$66:$C$71,MATCH(MONTH(Output!X5),Inputs!$D$66:$D$71,0)))</f>
        <v>657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140000</v>
      </c>
      <c r="AA10" s="37">
        <f>SUM(B10:M10)</f>
        <v>128333.3333333334</v>
      </c>
      <c r="AB10" s="37">
        <f>SUM(B10:Y10)</f>
        <v>140000</v>
      </c>
    </row>
    <row r="11" spans="1:30" customHeight="1" ht="15.75">
      <c r="A11" s="43" t="s">
        <v>31</v>
      </c>
      <c r="B11" s="80">
        <f>B6+B9-B10</f>
        <v>73022.25861103454</v>
      </c>
      <c r="C11" s="80">
        <f>C6+C9-C10</f>
        <v>269.6003616088274</v>
      </c>
      <c r="D11" s="80">
        <f>D6+D9-D10</f>
        <v>2457.100361608827</v>
      </c>
      <c r="E11" s="80">
        <f>E6+E9-E10</f>
        <v>-31956.90805563213</v>
      </c>
      <c r="F11" s="80">
        <f>F6+F9-F10</f>
        <v>-14006.60605563213</v>
      </c>
      <c r="G11" s="80">
        <f>G6+G9-G10</f>
        <v>-14756.60605563213</v>
      </c>
      <c r="H11" s="80">
        <f>H6+H9-H10</f>
        <v>-38644.40805563213</v>
      </c>
      <c r="I11" s="80">
        <f>I6+I9-I10</f>
        <v>269.6003616088274</v>
      </c>
      <c r="J11" s="80">
        <f>J6+J9-J10</f>
        <v>2457.100361608827</v>
      </c>
      <c r="K11" s="80">
        <f>K6+K9-K10</f>
        <v>-31956.90805563213</v>
      </c>
      <c r="L11" s="80">
        <f>L6+L9-L10</f>
        <v>-14006.60605563213</v>
      </c>
      <c r="M11" s="80">
        <f>M6+M9-M10</f>
        <v>-14756.60605563213</v>
      </c>
      <c r="N11" s="80">
        <f>N6+N9-N10</f>
        <v>-38644.40805563213</v>
      </c>
      <c r="O11" s="80">
        <f>O6+O9-O10</f>
        <v>11936.2670282755</v>
      </c>
      <c r="P11" s="80">
        <f>P6+P9-P10</f>
        <v>14123.7670282755</v>
      </c>
      <c r="Q11" s="80">
        <f>Q6+Q9-Q10</f>
        <v>-20290.24138896546</v>
      </c>
      <c r="R11" s="80">
        <f>R6+R9-R10</f>
        <v>-2339.93938896546</v>
      </c>
      <c r="S11" s="80">
        <f>S6+S9-S10</f>
        <v>-3089.93938896546</v>
      </c>
      <c r="T11" s="80">
        <f>T6+T9-T10</f>
        <v>-26977.74138896546</v>
      </c>
      <c r="U11" s="80">
        <f>U6+U9-U10</f>
        <v>11936.2670282755</v>
      </c>
      <c r="V11" s="80">
        <f>V6+V9-V10</f>
        <v>14123.7670282755</v>
      </c>
      <c r="W11" s="80">
        <f>W6+W9-W10</f>
        <v>-20290.24138896546</v>
      </c>
      <c r="X11" s="80">
        <f>X6+X9-X10</f>
        <v>-2339.93938896546</v>
      </c>
      <c r="Y11" s="80">
        <f>Y6+Y9-Y10</f>
        <v>-3089.93938896546</v>
      </c>
      <c r="Z11" s="85">
        <f>SUMIF($B$13:$Y$13,"Yes",B11:Y11)</f>
        <v>-120253.3963875872</v>
      </c>
      <c r="AA11" s="80">
        <f>SUM(B11:M11)</f>
        <v>-81608.98833195504</v>
      </c>
      <c r="AB11" s="46">
        <f>SUM(B11:Y11)</f>
        <v>-146551.3099972434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0.1373219059402855</v>
      </c>
      <c r="D12" s="82">
        <f>IF(D13="Yes",IF(SUM($B$10:D10)/(SUM($B$6:D6)+SUM($B$9:D9))&lt;0,999.99,SUM($B$10:D10)/(SUM($B$6:D6)+SUM($B$9:D9))),"")</f>
        <v>0.2354944834756207</v>
      </c>
      <c r="E12" s="82">
        <f>IF(E13="Yes",IF(SUM($B$10:E10)/(SUM($B$6:E6)+SUM($B$9:E9))&lt;0,999.99,SUM($B$10:E10)/(SUM($B$6:E6)+SUM($B$9:E9))),"")</f>
        <v>0.4442072446652638</v>
      </c>
      <c r="F12" s="82">
        <f>IF(F13="Yes",IF(SUM($B$10:F10)/(SUM($B$6:F6)+SUM($B$9:F9))&lt;0,999.99,SUM($B$10:F10)/(SUM($B$6:F6)+SUM($B$9:F9))),"")</f>
        <v>0.6104038922302359</v>
      </c>
      <c r="G12" s="82">
        <f>IF(G13="Yes",IF(SUM($B$10:G10)/(SUM($B$6:G6)+SUM($B$9:G9))&lt;0,999.99,SUM($B$10:G10)/(SUM($B$6:G6)+SUM($B$9:G9))),"")</f>
        <v>0.7951418468800848</v>
      </c>
      <c r="H12" s="82">
        <f>IF(H13="Yes",IF(SUM($B$10:H10)/(SUM($B$6:H6)+SUM($B$9:H9))&lt;0,999.99,SUM($B$10:H10)/(SUM($B$6:H6)+SUM($B$9:H9))),"")</f>
        <v>1.509127056692681</v>
      </c>
      <c r="I12" s="82">
        <f>IF(I13="Yes",IF(SUM($B$10:I10)/(SUM($B$6:I6)+SUM($B$9:I9))&lt;0,999.99,SUM($B$10:I10)/(SUM($B$6:I6)+SUM($B$9:I9))),"")</f>
        <v>1.400303310338044</v>
      </c>
      <c r="J12" s="82">
        <f>IF(J13="Yes",IF(SUM($B$10:J10)/(SUM($B$6:J6)+SUM($B$9:J9))&lt;0,999.99,SUM($B$10:J10)/(SUM($B$6:J6)+SUM($B$9:J9))),"")</f>
        <v>1.288343189732132</v>
      </c>
      <c r="K12" s="82">
        <f>IF(K13="Yes",IF(SUM($B$10:K10)/(SUM($B$6:K6)+SUM($B$9:K9))&lt;0,999.99,SUM($B$10:K10)/(SUM($B$6:K6)+SUM($B$9:K9))),"")</f>
        <v>2.013259759062044</v>
      </c>
      <c r="L12" s="82">
        <f>IF(L13="Yes",IF(SUM($B$10:L10)/(SUM($B$6:L6)+SUM($B$9:L9))&lt;0,999.99,SUM($B$10:L10)/(SUM($B$6:L6)+SUM($B$9:L9))),"")</f>
        <v>2.342032372732065</v>
      </c>
      <c r="M12" s="82">
        <f>IF(M13="Yes",IF(SUM($B$10:M10)/(SUM($B$6:M6)+SUM($B$9:M9))&lt;0,999.99,SUM($B$10:M10)/(SUM($B$6:M6)+SUM($B$9:M9))),"")</f>
        <v>2.746605293868704</v>
      </c>
      <c r="N12" s="82">
        <f>IF(N13="Yes",IF(SUM($B$10:N10)/(SUM($B$6:N6)+SUM($B$9:N9))&lt;0,999.99,SUM($B$10:N10)/(SUM($B$6:N6)+SUM($B$9:N9))),"")</f>
        <v>7.089826825307574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34414.00841724096</v>
      </c>
      <c r="D18" s="36">
        <f>P18</f>
        <v>34414.00841724096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34414.00841724096</v>
      </c>
      <c r="J18" s="36">
        <f>V18</f>
        <v>34414.00841724096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34414.00841724096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34414.00841724096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34414.00841724096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34414.00841724096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137656.0336689638</v>
      </c>
      <c r="AA18" s="36">
        <f>SUM(B18:M18)</f>
        <v>137656.0336689638</v>
      </c>
      <c r="AB18" s="36">
        <f>SUM(B18:Y18)</f>
        <v>275312.0673379276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22887.802</v>
      </c>
      <c r="G19" s="36">
        <f>S19</f>
        <v>22887.802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22887.802</v>
      </c>
      <c r="M19" s="36">
        <f>Y19</f>
        <v>22887.802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22887.802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22887.802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22887.802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22887.802</v>
      </c>
      <c r="Z19" s="36">
        <f>SUMIF($B$13:$Y$13,"Yes",B19:Y19)</f>
        <v>91551.208</v>
      </c>
      <c r="AA19" s="36">
        <f>SUM(B19:M19)</f>
        <v>91551.208</v>
      </c>
      <c r="AB19" s="36">
        <f>SUM(B19:Y19)</f>
        <v>183102.416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34414.00841724096</v>
      </c>
      <c r="D30" s="19">
        <f>SUM(D18:D29)</f>
        <v>34414.00841724096</v>
      </c>
      <c r="E30" s="19">
        <f>SUM(E18:E29)</f>
        <v>0</v>
      </c>
      <c r="F30" s="19">
        <f>SUM(F18:F29)</f>
        <v>22887.802</v>
      </c>
      <c r="G30" s="19">
        <f>SUM(G18:G29)</f>
        <v>22887.802</v>
      </c>
      <c r="H30" s="19">
        <f>SUM(H18:H29)</f>
        <v>0</v>
      </c>
      <c r="I30" s="19">
        <f>SUM(I18:I29)</f>
        <v>34414.00841724096</v>
      </c>
      <c r="J30" s="19">
        <f>SUM(J18:J29)</f>
        <v>34414.00841724096</v>
      </c>
      <c r="K30" s="19">
        <f>SUM(K18:K29)</f>
        <v>0</v>
      </c>
      <c r="L30" s="19">
        <f>SUM(L18:L29)</f>
        <v>22887.802</v>
      </c>
      <c r="M30" s="19">
        <f>SUM(M18:M29)</f>
        <v>22887.802</v>
      </c>
      <c r="N30" s="19">
        <f>SUM(N18:N29)</f>
        <v>0</v>
      </c>
      <c r="O30" s="19">
        <f>SUM(O18:O29)</f>
        <v>34414.00841724096</v>
      </c>
      <c r="P30" s="19">
        <f>SUM(P18:P29)</f>
        <v>34414.00841724096</v>
      </c>
      <c r="Q30" s="19">
        <f>SUM(Q18:Q29)</f>
        <v>0</v>
      </c>
      <c r="R30" s="19">
        <f>SUM(R18:R29)</f>
        <v>22887.802</v>
      </c>
      <c r="S30" s="19">
        <f>SUM(S18:S29)</f>
        <v>22887.802</v>
      </c>
      <c r="T30" s="19">
        <f>SUM(T18:T29)</f>
        <v>0</v>
      </c>
      <c r="U30" s="19">
        <f>SUM(U18:U29)</f>
        <v>34414.00841724096</v>
      </c>
      <c r="V30" s="19">
        <f>SUM(V18:V29)</f>
        <v>34414.00841724096</v>
      </c>
      <c r="W30" s="19">
        <f>SUM(W18:W29)</f>
        <v>0</v>
      </c>
      <c r="X30" s="19">
        <f>SUM(X18:X29)</f>
        <v>22887.802</v>
      </c>
      <c r="Y30" s="19">
        <f>SUM(Y18:Y29)</f>
        <v>22887.802</v>
      </c>
      <c r="Z30" s="19">
        <f>SUMIF($B$13:$Y$13,"Yes",B30:Y30)</f>
        <v>229207.2416689638</v>
      </c>
      <c r="AA30" s="19">
        <f>SUM(B30:M30)</f>
        <v>229207.2416689638</v>
      </c>
      <c r="AB30" s="19">
        <f>SUM(B30:Y30)</f>
        <v>458414.4833379276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2000</v>
      </c>
      <c r="G36" s="36">
        <f>S36</f>
        <v>2000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2000</v>
      </c>
      <c r="M36" s="36">
        <f>Y36</f>
        <v>2000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2000</v>
      </c>
      <c r="S36" s="36">
        <f>SUM(S37:S41)</f>
        <v>2000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2000</v>
      </c>
      <c r="Y36" s="36">
        <f>SUM(Y37:Y41)</f>
        <v>2000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2000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2000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2000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2000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2000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2000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2000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2000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750</v>
      </c>
      <c r="G42" s="36">
        <f>S42</f>
        <v>1500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750</v>
      </c>
      <c r="M42" s="36">
        <f>Y42</f>
        <v>1500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750</v>
      </c>
      <c r="S42" s="36">
        <f>SUM(S43:S47)</f>
        <v>1500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750</v>
      </c>
      <c r="Y42" s="36">
        <f>SUM(Y43:Y47)</f>
        <v>1500</v>
      </c>
      <c r="Z42" s="36">
        <f>SUMIF($B$13:$Y$13,"Yes",B42:Y42)</f>
        <v>4500</v>
      </c>
      <c r="AA42" s="36">
        <f>SUM(B42:M42)</f>
        <v>4500</v>
      </c>
      <c r="AB42" s="36">
        <f>SUM(B42:Y42)</f>
        <v>9000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750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750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750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750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1500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1500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1500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1500</v>
      </c>
      <c r="Z44" s="36">
        <f>SUMIF($B$13:$Y$13,"Yes",B44:Y44)</f>
        <v>3000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4500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4500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4500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4500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13500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4500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4500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4500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4500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13500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2812.5</v>
      </c>
      <c r="C66" s="36">
        <f>O66</f>
        <v>2812.5</v>
      </c>
      <c r="D66" s="36">
        <f>P66</f>
        <v>625</v>
      </c>
      <c r="E66" s="36">
        <f>Q66</f>
        <v>625</v>
      </c>
      <c r="F66" s="36">
        <f>R66</f>
        <v>2812.5</v>
      </c>
      <c r="G66" s="36">
        <f>S66</f>
        <v>2812.5</v>
      </c>
      <c r="H66" s="36">
        <f>T66</f>
        <v>2812.5</v>
      </c>
      <c r="I66" s="36">
        <f>U66</f>
        <v>2812.5</v>
      </c>
      <c r="J66" s="36">
        <f>V66</f>
        <v>625</v>
      </c>
      <c r="K66" s="36">
        <f>W66</f>
        <v>625</v>
      </c>
      <c r="L66" s="36">
        <f>X66</f>
        <v>2812.5</v>
      </c>
      <c r="M66" s="36">
        <f>Y66</f>
        <v>2812.5</v>
      </c>
      <c r="N66" s="46">
        <f>SUM(N67:N71)</f>
        <v>2812.5</v>
      </c>
      <c r="O66" s="46">
        <f>SUM(O67:O71)</f>
        <v>2812.5</v>
      </c>
      <c r="P66" s="46">
        <f>SUM(P67:P71)</f>
        <v>625</v>
      </c>
      <c r="Q66" s="46">
        <f>SUM(Q67:Q71)</f>
        <v>625</v>
      </c>
      <c r="R66" s="46">
        <f>SUM(R67:R71)</f>
        <v>2812.5</v>
      </c>
      <c r="S66" s="46">
        <f>SUM(S67:S71)</f>
        <v>2812.5</v>
      </c>
      <c r="T66" s="46">
        <f>SUM(T67:T71)</f>
        <v>2812.5</v>
      </c>
      <c r="U66" s="46">
        <f>SUM(U67:U71)</f>
        <v>2812.5</v>
      </c>
      <c r="V66" s="46">
        <f>SUM(V67:V71)</f>
        <v>625</v>
      </c>
      <c r="W66" s="46">
        <f>SUM(W67:W71)</f>
        <v>625</v>
      </c>
      <c r="X66" s="46">
        <f>SUM(X67:X71)</f>
        <v>2812.5</v>
      </c>
      <c r="Y66" s="46">
        <f>SUM(Y67:Y71)</f>
        <v>2812.5</v>
      </c>
      <c r="Z66" s="46">
        <f>SUMIF($B$13:$Y$13,"Yes",B66:Y66)</f>
        <v>27812.5</v>
      </c>
      <c r="AA66" s="46">
        <f>SUM(B66:M66)</f>
        <v>25000</v>
      </c>
      <c r="AB66" s="46">
        <f>SUM(B66:Y66)</f>
        <v>50000</v>
      </c>
    </row>
    <row r="67" spans="1:30" hidden="true" outlineLevel="1">
      <c r="A67" s="181" t="str">
        <f>Calculations!$A$4</f>
        <v>Tomatoes</v>
      </c>
      <c r="B67" s="36">
        <f>N67</f>
        <v>2187.5</v>
      </c>
      <c r="C67" s="36">
        <f>O67</f>
        <v>2187.5</v>
      </c>
      <c r="D67" s="36">
        <f>P67</f>
        <v>0</v>
      </c>
      <c r="E67" s="36">
        <f>Q67</f>
        <v>0</v>
      </c>
      <c r="F67" s="36">
        <f>R67</f>
        <v>2187.5</v>
      </c>
      <c r="G67" s="36">
        <f>S67</f>
        <v>2187.5</v>
      </c>
      <c r="H67" s="36">
        <f>T67</f>
        <v>2187.5</v>
      </c>
      <c r="I67" s="36">
        <f>U67</f>
        <v>2187.5</v>
      </c>
      <c r="J67" s="36">
        <f>V67</f>
        <v>0</v>
      </c>
      <c r="K67" s="36">
        <f>W67</f>
        <v>0</v>
      </c>
      <c r="L67" s="36">
        <f>X67</f>
        <v>2187.5</v>
      </c>
      <c r="M67" s="36">
        <f>Y67</f>
        <v>2187.5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2187.5</v>
      </c>
      <c r="Z67" s="46">
        <f>SUMIF($B$13:$Y$13,"Yes",B67:Y67)</f>
        <v>19687.5</v>
      </c>
      <c r="AA67" s="46">
        <f>SUM(B67:M67)</f>
        <v>17500</v>
      </c>
      <c r="AB67" s="46">
        <f>SUM(B67:Y67)</f>
        <v>35000</v>
      </c>
    </row>
    <row r="68" spans="1:30" hidden="true" outlineLevel="1">
      <c r="A68" s="181" t="str">
        <f>Calculations!$A$5</f>
        <v>Onions</v>
      </c>
      <c r="B68" s="36">
        <f>N68</f>
        <v>625</v>
      </c>
      <c r="C68" s="36">
        <f>O68</f>
        <v>625</v>
      </c>
      <c r="D68" s="36">
        <f>P68</f>
        <v>625</v>
      </c>
      <c r="E68" s="36">
        <f>Q68</f>
        <v>625</v>
      </c>
      <c r="F68" s="36">
        <f>R68</f>
        <v>625</v>
      </c>
      <c r="G68" s="36">
        <f>S68</f>
        <v>625</v>
      </c>
      <c r="H68" s="36">
        <f>T68</f>
        <v>625</v>
      </c>
      <c r="I68" s="36">
        <f>U68</f>
        <v>625</v>
      </c>
      <c r="J68" s="36">
        <f>V68</f>
        <v>625</v>
      </c>
      <c r="K68" s="36">
        <f>W68</f>
        <v>625</v>
      </c>
      <c r="L68" s="36">
        <f>X68</f>
        <v>625</v>
      </c>
      <c r="M68" s="36">
        <f>Y68</f>
        <v>625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625</v>
      </c>
      <c r="Z68" s="46">
        <f>SUMIF($B$13:$Y$13,"Yes",B68:Y68)</f>
        <v>8125</v>
      </c>
      <c r="AA68" s="46">
        <f>SUM(B68:M68)</f>
        <v>7500</v>
      </c>
      <c r="AB68" s="46">
        <f>SUM(B68:Y68)</f>
        <v>15000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118625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6500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39000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-2959.75861103454</v>
      </c>
      <c r="C81" s="46">
        <f>(SUM($AA$18:$AA$29)-SUM($AA$36,$AA$42,$AA$48,$AA$54,$AA$60,$AA$66,$AA$72:$AA$79))*Parameters!$B$37/12</f>
        <v>-2959.75861103454</v>
      </c>
      <c r="D81" s="46">
        <f>(SUM($AA$18:$AA$29)-SUM($AA$36,$AA$42,$AA$48,$AA$54,$AA$60,$AA$66,$AA$72:$AA$79))*Parameters!$B$37/12</f>
        <v>-2959.75861103454</v>
      </c>
      <c r="E81" s="46">
        <f>(SUM($AA$18:$AA$29)-SUM($AA$36,$AA$42,$AA$48,$AA$54,$AA$60,$AA$66,$AA$72:$AA$79))*Parameters!$B$37/12</f>
        <v>-2959.75861103454</v>
      </c>
      <c r="F81" s="46">
        <f>(SUM($AA$18:$AA$29)-SUM($AA$36,$AA$42,$AA$48,$AA$54,$AA$60,$AA$66,$AA$72:$AA$79))*Parameters!$B$37/12</f>
        <v>-2959.75861103454</v>
      </c>
      <c r="G81" s="46">
        <f>(SUM($AA$18:$AA$29)-SUM($AA$36,$AA$42,$AA$48,$AA$54,$AA$60,$AA$66,$AA$72:$AA$79))*Parameters!$B$37/12</f>
        <v>-2959.75861103454</v>
      </c>
      <c r="H81" s="46">
        <f>(SUM($AA$18:$AA$29)-SUM($AA$36,$AA$42,$AA$48,$AA$54,$AA$60,$AA$66,$AA$72:$AA$79))*Parameters!$B$37/12</f>
        <v>-2959.75861103454</v>
      </c>
      <c r="I81" s="46">
        <f>(SUM($AA$18:$AA$29)-SUM($AA$36,$AA$42,$AA$48,$AA$54,$AA$60,$AA$66,$AA$72:$AA$79))*Parameters!$B$37/12</f>
        <v>-2959.75861103454</v>
      </c>
      <c r="J81" s="46">
        <f>(SUM($AA$18:$AA$29)-SUM($AA$36,$AA$42,$AA$48,$AA$54,$AA$60,$AA$66,$AA$72:$AA$79))*Parameters!$B$37/12</f>
        <v>-2959.75861103454</v>
      </c>
      <c r="K81" s="46">
        <f>(SUM($AA$18:$AA$29)-SUM($AA$36,$AA$42,$AA$48,$AA$54,$AA$60,$AA$66,$AA$72:$AA$79))*Parameters!$B$37/12</f>
        <v>-2959.75861103454</v>
      </c>
      <c r="L81" s="46">
        <f>(SUM($AA$18:$AA$29)-SUM($AA$36,$AA$42,$AA$48,$AA$54,$AA$60,$AA$66,$AA$72:$AA$79))*Parameters!$B$37/12</f>
        <v>-2959.75861103454</v>
      </c>
      <c r="M81" s="46">
        <f>(SUM($AA$18:$AA$29)-SUM($AA$36,$AA$42,$AA$48,$AA$54,$AA$60,$AA$66,$AA$72:$AA$79))*Parameters!$B$37/12</f>
        <v>-2959.75861103454</v>
      </c>
      <c r="N81" s="46">
        <f>(SUM($AA$18:$AA$29)-SUM($AA$36,$AA$42,$AA$48,$AA$54,$AA$60,$AA$66,$AA$72:$AA$79))*Parameters!$B$37/12</f>
        <v>-2959.75861103454</v>
      </c>
      <c r="O81" s="46">
        <f>(SUM($AA$18:$AA$29)-SUM($AA$36,$AA$42,$AA$48,$AA$54,$AA$60,$AA$66,$AA$72:$AA$79))*Parameters!$B$37/12</f>
        <v>-2959.75861103454</v>
      </c>
      <c r="P81" s="46">
        <f>(SUM($AA$18:$AA$29)-SUM($AA$36,$AA$42,$AA$48,$AA$54,$AA$60,$AA$66,$AA$72:$AA$79))*Parameters!$B$37/12</f>
        <v>-2959.75861103454</v>
      </c>
      <c r="Q81" s="46">
        <f>(SUM($AA$18:$AA$29)-SUM($AA$36,$AA$42,$AA$48,$AA$54,$AA$60,$AA$66,$AA$72:$AA$79))*Parameters!$B$37/12</f>
        <v>-2959.75861103454</v>
      </c>
      <c r="R81" s="46">
        <f>(SUM($AA$18:$AA$29)-SUM($AA$36,$AA$42,$AA$48,$AA$54,$AA$60,$AA$66,$AA$72:$AA$79))*Parameters!$B$37/12</f>
        <v>-2959.75861103454</v>
      </c>
      <c r="S81" s="46">
        <f>(SUM($AA$18:$AA$29)-SUM($AA$36,$AA$42,$AA$48,$AA$54,$AA$60,$AA$66,$AA$72:$AA$79))*Parameters!$B$37/12</f>
        <v>-2959.75861103454</v>
      </c>
      <c r="T81" s="46">
        <f>(SUM($AA$18:$AA$29)-SUM($AA$36,$AA$42,$AA$48,$AA$54,$AA$60,$AA$66,$AA$72:$AA$79))*Parameters!$B$37/12</f>
        <v>-2959.75861103454</v>
      </c>
      <c r="U81" s="46">
        <f>(SUM($AA$18:$AA$29)-SUM($AA$36,$AA$42,$AA$48,$AA$54,$AA$60,$AA$66,$AA$72:$AA$79))*Parameters!$B$37/12</f>
        <v>-2959.75861103454</v>
      </c>
      <c r="V81" s="46">
        <f>(SUM($AA$18:$AA$29)-SUM($AA$36,$AA$42,$AA$48,$AA$54,$AA$60,$AA$66,$AA$72:$AA$79))*Parameters!$B$37/12</f>
        <v>-2959.75861103454</v>
      </c>
      <c r="W81" s="46">
        <f>(SUM($AA$18:$AA$29)-SUM($AA$36,$AA$42,$AA$48,$AA$54,$AA$60,$AA$66,$AA$72:$AA$79))*Parameters!$B$37/12</f>
        <v>-2959.75861103454</v>
      </c>
      <c r="X81" s="46">
        <f>(SUM($AA$18:$AA$29)-SUM($AA$36,$AA$42,$AA$48,$AA$54,$AA$60,$AA$66,$AA$72:$AA$79))*Parameters!$B$37/12</f>
        <v>-2959.75861103454</v>
      </c>
      <c r="Y81" s="46">
        <f>(SUM($AA$18:$AA$29)-SUM($AA$36,$AA$42,$AA$48,$AA$54,$AA$60,$AA$66,$AA$72:$AA$79))*Parameters!$B$37/12</f>
        <v>-2959.75861103454</v>
      </c>
      <c r="Z81" s="46">
        <f>SUMIF($B$13:$Y$13,"Yes",B81:Y81)</f>
        <v>-38476.86194344902</v>
      </c>
      <c r="AA81" s="46">
        <f>SUM(B81:M81)</f>
        <v>-35517.10333241448</v>
      </c>
      <c r="AB81" s="46">
        <f>SUM(B81:Y81)</f>
        <v>-71034.20666482901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26977.74138896546</v>
      </c>
      <c r="C88" s="19">
        <f>SUM(C72:C82,C66,C60,C54,C48,C42,C36)</f>
        <v>22477.74138896546</v>
      </c>
      <c r="D88" s="19">
        <f>SUM(D72:D82,D66,D60,D54,D48,D42,D36)</f>
        <v>20290.24138896546</v>
      </c>
      <c r="E88" s="19">
        <f>SUM(E72:E82,E66,E60,E54,E48,E42,E36)</f>
        <v>20290.24138896546</v>
      </c>
      <c r="F88" s="19">
        <f>SUM(F72:F82,F66,F60,F54,F48,F42,F36)</f>
        <v>25227.74138896546</v>
      </c>
      <c r="G88" s="19">
        <f>SUM(G72:G82,G66,G60,G54,G48,G42,G36)</f>
        <v>25977.74138896546</v>
      </c>
      <c r="H88" s="19">
        <f>SUM(H72:H82,H66,H60,H54,H48,H42,H36)</f>
        <v>26977.74138896546</v>
      </c>
      <c r="I88" s="19">
        <f>SUM(I72:I82,I66,I60,I54,I48,I42,I36)</f>
        <v>22477.74138896546</v>
      </c>
      <c r="J88" s="19">
        <f>SUM(J72:J82,J66,J60,J54,J48,J42,J36)</f>
        <v>20290.24138896546</v>
      </c>
      <c r="K88" s="19">
        <f>SUM(K72:K82,K66,K60,K54,K48,K42,K36)</f>
        <v>20290.24138896546</v>
      </c>
      <c r="L88" s="19">
        <f>SUM(L72:L82,L66,L60,L54,L48,L42,L36)</f>
        <v>25227.74138896546</v>
      </c>
      <c r="M88" s="19">
        <f>SUM(M72:M82,M66,M60,M54,M48,M42,M36)</f>
        <v>25977.74138896546</v>
      </c>
      <c r="N88" s="19">
        <f>SUM(N72:N82,N66,N60,N54,N48,N42,N36)</f>
        <v>26977.74138896546</v>
      </c>
      <c r="O88" s="19">
        <f>SUM(O72:O82,O66,O60,O54,O48,O42,O36)</f>
        <v>22477.74138896546</v>
      </c>
      <c r="P88" s="19">
        <f>SUM(P72:P82,P66,P60,P54,P48,P42,P36)</f>
        <v>20290.24138896546</v>
      </c>
      <c r="Q88" s="19">
        <f>SUM(Q72:Q82,Q66,Q60,Q54,Q48,Q42,Q36)</f>
        <v>20290.24138896546</v>
      </c>
      <c r="R88" s="19">
        <f>SUM(R72:R82,R66,R60,R54,R48,R42,R36)</f>
        <v>25227.74138896546</v>
      </c>
      <c r="S88" s="19">
        <f>SUM(S72:S82,S66,S60,S54,S48,S42,S36)</f>
        <v>25977.74138896546</v>
      </c>
      <c r="T88" s="19">
        <f>SUM(T72:T82,T66,T60,T54,T48,T42,T36)</f>
        <v>26977.74138896546</v>
      </c>
      <c r="U88" s="19">
        <f>SUM(U72:U82,U66,U60,U54,U48,U42,U36)</f>
        <v>22477.74138896546</v>
      </c>
      <c r="V88" s="19">
        <f>SUM(V72:V82,V66,V60,V54,V48,V42,V36)</f>
        <v>20290.24138896546</v>
      </c>
      <c r="W88" s="19">
        <f>SUM(W72:W82,W66,W60,W54,W48,W42,W36)</f>
        <v>20290.24138896546</v>
      </c>
      <c r="X88" s="19">
        <f>SUM(X72:X82,X66,X60,X54,X48,X42,X36)</f>
        <v>25227.74138896546</v>
      </c>
      <c r="Y88" s="19">
        <f>SUM(Y72:Y82,Y66,Y60,Y54,Y48,Y42,Y36)</f>
        <v>25977.74138896546</v>
      </c>
      <c r="Z88" s="19">
        <f>SUMIF($B$13:$Y$13,"Yes",B88:Y88)</f>
        <v>309460.638056551</v>
      </c>
      <c r="AA88" s="19">
        <f>SUM(B88:M88)</f>
        <v>282482.8966675855</v>
      </c>
      <c r="AB88" s="19">
        <f>SUM(B88:Y88)</f>
        <v>564965.7933351711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1200000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3820000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93</v>
      </c>
      <c r="I8" s="147" t="s">
        <v>93</v>
      </c>
      <c r="J8" s="148" t="s">
        <v>96</v>
      </c>
      <c r="K8" s="138"/>
      <c r="L8" s="16"/>
      <c r="M8" s="165">
        <v>50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6</v>
      </c>
      <c r="D19" s="145">
        <v>0</v>
      </c>
      <c r="E19" s="20"/>
      <c r="F19" s="145" t="s">
        <v>92</v>
      </c>
      <c r="G19" s="20"/>
      <c r="H19" s="20"/>
      <c r="I19" s="145" t="s">
        <v>111</v>
      </c>
      <c r="J19" s="145">
        <v>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50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10000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>
        <v>0</v>
      </c>
      <c r="C35" s="145" t="s">
        <v>94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93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300000</v>
      </c>
    </row>
    <row r="47" spans="1:48" customHeight="1" ht="30">
      <c r="A47" s="57" t="s">
        <v>132</v>
      </c>
      <c r="B47" s="161">
        <v>300000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20000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96</v>
      </c>
      <c r="B66" s="159">
        <v>35500</v>
      </c>
      <c r="C66" s="163">
        <v>31650</v>
      </c>
      <c r="D66" s="49">
        <f>INDEX(Parameters!$D$79:$D$90,MATCH(Inputs!A66,Parameters!$C$79:$C$90,0))</f>
        <v>8</v>
      </c>
    </row>
    <row r="67" spans="1:48">
      <c r="A67" s="143" t="s">
        <v>146</v>
      </c>
      <c r="B67" s="157">
        <v>38150</v>
      </c>
      <c r="C67" s="165">
        <v>37100</v>
      </c>
      <c r="D67" s="49">
        <f>INDEX(Parameters!$D$79:$D$90,MATCH(Inputs!A67,Parameters!$C$79:$C$90,0))</f>
        <v>9</v>
      </c>
    </row>
    <row r="68" spans="1:48">
      <c r="A68" s="143" t="s">
        <v>147</v>
      </c>
      <c r="B68" s="157">
        <v>41200</v>
      </c>
      <c r="C68" s="165">
        <v>40200</v>
      </c>
      <c r="D68" s="49">
        <f>INDEX(Parameters!$D$79:$D$90,MATCH(Inputs!A68,Parameters!$C$79:$C$90,0))</f>
        <v>10</v>
      </c>
    </row>
    <row r="69" spans="1:48">
      <c r="A69" s="143" t="s">
        <v>148</v>
      </c>
      <c r="B69" s="157">
        <v>37150</v>
      </c>
      <c r="C69" s="165">
        <v>36005</v>
      </c>
      <c r="D69" s="49">
        <f>INDEX(Parameters!$D$79:$D$90,MATCH(Inputs!A69,Parameters!$C$79:$C$90,0))</f>
        <v>11</v>
      </c>
    </row>
    <row r="70" spans="1:48">
      <c r="A70" s="143" t="s">
        <v>149</v>
      </c>
      <c r="B70" s="157">
        <v>43289</v>
      </c>
      <c r="C70" s="165">
        <v>43646</v>
      </c>
      <c r="D70" s="49">
        <f>INDEX(Parameters!$D$79:$D$90,MATCH(Inputs!A70,Parameters!$C$79:$C$90,0))</f>
        <v>12</v>
      </c>
    </row>
    <row r="71" spans="1:48">
      <c r="A71" s="144" t="s">
        <v>94</v>
      </c>
      <c r="B71" s="158">
        <v>45225</v>
      </c>
      <c r="C71" s="167">
        <v>44568</v>
      </c>
      <c r="D71" s="49">
        <f>INDEX(Parameters!$D$79:$D$90,MATCH(Inputs!A71,Parameters!$C$79:$C$90,0))</f>
        <v>1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26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40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43525</v>
      </c>
      <c r="D4" s="38">
        <f>IFERROR(DATE(YEAR(B4),MONTH(B4)+T4,DAY(B4)),"")</f>
        <v>43556</v>
      </c>
      <c r="E4" s="38">
        <f>IFERROR(IF($S4=0,"",IF($S4=2,DATE(YEAR(B4),MONTH(B4)+6,DAY(B4)),IF($S4=1,B4,""))),"")</f>
        <v>43647</v>
      </c>
      <c r="F4" s="38">
        <f>IFERROR(IF($S4=0,"",IF($S4=2,DATE(YEAR(C4),MONTH(C4)+6,DAY(C4)),IF($S4=1,C4,""))),"")</f>
        <v>43709</v>
      </c>
      <c r="G4" s="38">
        <f>IFERROR(IF($S4=0,"",IF($S4=2,DATE(YEAR(D4),MONTH(D4)+6,DAY(D4)),IF($S4=1,D4,""))),"")</f>
        <v>43739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3933.029533398966</v>
      </c>
      <c r="N4" s="22">
        <f>Calculations!U4</f>
        <v>0.5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137656.0336689638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43313</v>
      </c>
      <c r="C5" s="39">
        <f>IFERROR(DATE(YEAR(B5),MONTH(B5)+ROUND(T5/2,0),DAY(B5)),B5)</f>
        <v>43405</v>
      </c>
      <c r="D5" s="39">
        <f>IFERROR(DATE(YEAR(B5),MONTH(B5)+T5,DAY(B5)),"")</f>
        <v>43466</v>
      </c>
      <c r="E5" s="39">
        <f>IFERROR(IF($S5=0,"",IF($S5=2,DATE(YEAR(B5),MONTH(B5)+6,DAY(B5)),IF($S5=1,B5,""))),"")</f>
        <v>43497</v>
      </c>
      <c r="F5" s="39">
        <f>IFERROR(IF($S5=0,"",IF($S5=2,DATE(YEAR(C5),MONTH(C5)+6,DAY(C5)),IF($S5=1,C5,""))),"")</f>
        <v>43586</v>
      </c>
      <c r="G5" s="39">
        <f>IFERROR(IF($S5=0,"",IF($S5=2,DATE(YEAR(D5),MONTH(D5)+6,DAY(D5)),IF($S5=1,D5,""))),"")</f>
        <v>43647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1634.843</v>
      </c>
      <c r="M5" s="30">
        <f>L5*H5</f>
        <v>1634.843</v>
      </c>
      <c r="N5" s="22">
        <f>Calculations!U5</f>
        <v>0.5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91551.208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6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43203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43191</v>
      </c>
      <c r="F33" t="s">
        <v>155</v>
      </c>
      <c r="G33" s="128">
        <f>IF(Inputs!B79="","",DATE(YEAR(Inputs!B79),MONTH(Inputs!B79),DAY(Inputs!B79)))</f>
        <v>43161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43233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43221</v>
      </c>
      <c r="F34" t="s">
        <v>156</v>
      </c>
      <c r="G34" s="128">
        <f>IF(Inputs!B80="","",DATE(YEAR(Inputs!B80),MONTH(Inputs!B80),DAY(Inputs!B80)))</f>
        <v>43203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43264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43252</v>
      </c>
      <c r="F35" t="s">
        <v>158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43294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43282</v>
      </c>
      <c r="F36" t="s">
        <v>159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43325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43313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43356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43344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43386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43374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43417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43405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43447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43435</v>
      </c>
      <c r="F41" t="s">
        <v>222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43478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43466</v>
      </c>
      <c r="F42" t="s">
        <v>223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43509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43537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196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308</v>
      </c>
      <c r="H52" s="12" t="s">
        <v>128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224</v>
      </c>
      <c r="E53" s="10" t="s">
        <v>183</v>
      </c>
      <c r="F53" s="10" t="s">
        <v>243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161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220</v>
      </c>
      <c r="J76" s="11" t="s">
        <v>342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93</v>
      </c>
      <c r="F77" s="12" t="s">
        <v>93</v>
      </c>
      <c r="G77" s="12" t="s">
        <v>344</v>
      </c>
      <c r="H77" s="12" t="s">
        <v>128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91</v>
      </c>
      <c r="F78" s="12" t="s">
        <v>348</v>
      </c>
      <c r="G78" s="12" t="s">
        <v>349</v>
      </c>
      <c r="H78" s="12" t="s">
        <v>309</v>
      </c>
      <c r="I78" s="12" t="s">
        <v>350</v>
      </c>
      <c r="J78" s="70" t="s">
        <v>90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351</v>
      </c>
      <c r="F79" s="12" t="s">
        <v>352</v>
      </c>
      <c r="G79" s="12" t="s">
        <v>111</v>
      </c>
      <c r="I79" s="12" t="s">
        <v>161</v>
      </c>
      <c r="J79" s="70" t="s">
        <v>353</v>
      </c>
      <c r="K79" s="12" t="s">
        <v>93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92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