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<sst xmlns="http://schemas.openxmlformats.org/spreadsheetml/2006/main" uniqueCount="373">
  <si>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</si>
  <si>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</si>
  <si>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</si>
  <si>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</si>
  <si>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</si>
  <si>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</si>
  <si>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</si>
  <si>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</si>
  <si>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</si>
  <si>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</si>
  <si>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</si>
  <si>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</si>
  <si>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</si>
  <si>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</si>
  <si>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</si>
  <si>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</si>
  <si>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</si>
  <si>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</si>
  <si>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</si>
  <si>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</si>
  <si>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</si>
  <si>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</si>
  <si>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</si>
  <si>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</si>
  <si>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</si>
  <si>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</si>
  <si>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</si>
  <si>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</si>
  <si>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</si>
  <si>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</si>
  <si>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</si>
  <si>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</si>
  <si>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</si>
  <si>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</si>
  <si>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</si>
  <si>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</si>
  <si>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</si>
  <si>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</si>
  <si>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</si>
  <si>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</si>
  <si>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</si>
  <si>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</si>
  <si>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</si>
  <si>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</si>
  <si>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</si>
  <si>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</si>
  <si>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</si>
  <si>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</si>
  <si>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</si>
  <si>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</si>
  <si>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</si>
  <si>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</si>
  <si>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</si>
  <si>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</si>
  <si>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</si>
  <si>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</si>
  <si>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</si>
  <si>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</si>
  <si>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</si>
  <si>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</si>
  <si>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</si>
  <si>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</si>
  <si>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</si>
  <si>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</si>
  <si>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</si>
  <si>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</si>
  <si>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</si>
  <si>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</si>
  <si>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</si>
  <si>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</si>
  <si>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</si>
  <si>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</si>
  <si>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</si>
  <si>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</si>
  <si>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</si>
  <si>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</si>
  <si>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</si>
  <si>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</si>
  <si>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</si>
  <si>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</si>
  <si>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</si>
  <si>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</si>
  <si>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</si>
  <si>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</si>
  <si>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</si>
  <si>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</si>
  <si>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</si>
  <si>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</si>
  <si>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</si>
  <si>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</si>
  <si>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</si>
  <si>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</si>
  <si>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</si>
  <si>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using a diesel pump</t>
  </si>
  <si>
    <t>March</t>
  </si>
  <si>
    <t>Onions</t>
  </si>
  <si>
    <t>May</t>
  </si>
  <si>
    <t>Tomatoes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</si>
  <si>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</si>
  <si>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</si>
  <si>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</si>
  <si>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</si>
  <si>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</si>
  <si>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</si>
  <si>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</si>
  <si>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</si>
  <si>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</si>
  <si>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</si>
  <si>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</si>
  <si>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</si>
  <si>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</si>
  <si>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</si>
  <si>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</si>
  <si>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</si>
  <si>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</si>
  <si>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</si>
  <si>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</si>
  <si>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</si>
  <si>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</si>
  <si>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Pension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</si>
  <si>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</si>
  <si>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</si>
  <si>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</si>
  <si>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</si>
  <si>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</si>
  <si>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</si>
  <si>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</si>
  <si>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Farm house</t>
  </si>
  <si>
    <t>January</t>
  </si>
  <si>
    <t>digging the well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</si>
  <si>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</si>
  <si>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</si>
  <si>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</si>
  <si>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</si>
  <si>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</si>
  <si>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</si>
  <si>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</si>
  <si>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</si>
  <si>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</si>
  <si>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</si>
  <si>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</si>
  <si>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</si>
  <si>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</si>
  <si>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</si>
  <si>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</si>
  <si>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</si>
  <si>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</si>
  <si>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</si>
  <si>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</si>
  <si>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</si>
  <si>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</si>
  <si>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4/15/2011</t>
  </si>
  <si>
    <t>Barclays</t>
  </si>
  <si>
    <t>fully settled</t>
  </si>
  <si>
    <t>10/15/2016</t>
  </si>
  <si>
    <t>Equity</t>
  </si>
  <si>
    <t>Loan serviced as required</t>
  </si>
  <si>
    <t>Mpesa &amp; bank cash flows (from past statements)</t>
  </si>
  <si>
    <t>Cash inflows</t>
  </si>
  <si>
    <t>Cash outflows</t>
  </si>
  <si>
    <t>February</t>
  </si>
  <si>
    <t>November</t>
  </si>
  <si>
    <t>October</t>
  </si>
  <si>
    <t>September</t>
  </si>
  <si>
    <t>Loan info</t>
  </si>
  <si>
    <t>Branch ID</t>
  </si>
  <si>
    <t>Submission date</t>
  </si>
  <si>
    <t>2018/3/5</t>
  </si>
  <si>
    <t>Loan terms</t>
  </si>
  <si>
    <t>Expected disbursement date</t>
  </si>
  <si>
    <t>Expected first repayment date</t>
  </si>
  <si>
    <t>2018/6/1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</si>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</sst>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Onions, Tomatoes,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Goat, Chicken: sale of ex layers</v>
      </c>
    </row>
    <row r="8" spans="1:7">
      <c r="B8" s="1" t="s">
        <v>4</v>
      </c>
      <c r="C8" t="str">
        <f>IF(Inputs!B29="","None",Inputs!B29)</f>
        <v>Pension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0.4750573831191002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0.006046401899352357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380798.7616270398</v>
      </c>
    </row>
    <row r="18" spans="1:7">
      <c r="B18" s="1" t="s">
        <v>12</v>
      </c>
      <c r="C18" s="36">
        <f>MIN(Output!B6:M6)</f>
        <v>-135378.9001864646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329444.7713593402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460000</v>
      </c>
    </row>
    <row r="25" spans="1:7">
      <c r="B25" s="1" t="s">
        <v>18</v>
      </c>
      <c r="C25" s="36">
        <f>MAX(Inputs!A56:A60)</f>
        <v>620000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-44795.38239990337</v>
      </c>
      <c r="C6" s="51">
        <f>C30-C88</f>
        <v>131120.7457731608</v>
      </c>
      <c r="D6" s="51">
        <f>D30-D88</f>
        <v>-60970.38239990337</v>
      </c>
      <c r="E6" s="51">
        <f>E30-E88</f>
        <v>-57470.38239990337</v>
      </c>
      <c r="F6" s="51">
        <f>F30-F88</f>
        <v>329444.7713593402</v>
      </c>
      <c r="G6" s="51">
        <f>G30-G88</f>
        <v>-52058.48911927095</v>
      </c>
      <c r="H6" s="51">
        <f>H30-H88</f>
        <v>-27578.90018646463</v>
      </c>
      <c r="I6" s="51">
        <f>I30-I88</f>
        <v>148337.2279865995</v>
      </c>
      <c r="J6" s="51">
        <f>J30-J88</f>
        <v>-43753.90018646463</v>
      </c>
      <c r="K6" s="51">
        <f>K30-K88</f>
        <v>-135378.9001864646</v>
      </c>
      <c r="L6" s="51">
        <f>L30-L88</f>
        <v>196661.2535727789</v>
      </c>
      <c r="M6" s="51">
        <f>M30-M88</f>
        <v>-2758.900186464627</v>
      </c>
      <c r="N6" s="51">
        <f>N30-N88</f>
        <v>-27578.90018646463</v>
      </c>
      <c r="O6" s="51">
        <f>O30-O88</f>
        <v>148337.2279865995</v>
      </c>
      <c r="P6" s="51">
        <f>P30-P88</f>
        <v>-43753.90018646463</v>
      </c>
      <c r="Q6" s="51">
        <f>Q30-Q88</f>
        <v>-40253.90018646463</v>
      </c>
      <c r="R6" s="51">
        <f>R30-R88</f>
        <v>346661.2535727789</v>
      </c>
      <c r="S6" s="51">
        <f>S30-S88</f>
        <v>-2758.900186464627</v>
      </c>
      <c r="T6" s="51">
        <f>T30-T88</f>
        <v>-27578.90018646463</v>
      </c>
      <c r="U6" s="51">
        <f>U30-U88</f>
        <v>148337.2279865995</v>
      </c>
      <c r="V6" s="51">
        <f>V30-V88</f>
        <v>-43753.90018646463</v>
      </c>
      <c r="W6" s="51">
        <f>W30-W88</f>
        <v>-40253.90018646463</v>
      </c>
      <c r="X6" s="51">
        <f>X30-X88</f>
        <v>346661.2535727789</v>
      </c>
      <c r="Y6" s="51">
        <f>Y30-Y88</f>
        <v>-2758.900186464627</v>
      </c>
      <c r="Z6" s="51">
        <f>SUMIF($B$13:$Y$13,"Yes",B6:Y6)</f>
        <v>457803.18924071</v>
      </c>
      <c r="AA6" s="51">
        <f>AA30-AA88</f>
        <v>380798.7616270399</v>
      </c>
      <c r="AB6" s="51">
        <f>AB30-AB88</f>
        <v>1142104.523254079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13004</v>
      </c>
      <c r="I7" s="80">
        <f>IF(ISERROR(VLOOKUP(MONTH(I5),Inputs!$D$66:$D$71,1,0)),"",INDEX(Inputs!$B$66:$B$71,MATCH(MONTH(Output!I5),Inputs!$D$66:$D$71,0))-INDEX(Inputs!$C$66:$C$71,MATCH(MONTH(Output!I5),Inputs!$D$66:$D$71,0)))</f>
        <v>-2330</v>
      </c>
      <c r="J7" s="80">
        <f>IF(ISERROR(VLOOKUP(MONTH(J5),Inputs!$D$66:$D$71,1,0)),"",INDEX(Inputs!$B$66:$B$71,MATCH(MONTH(Output!J5),Inputs!$D$66:$D$71,0))-INDEX(Inputs!$C$66:$C$71,MATCH(MONTH(Output!J5),Inputs!$D$66:$D$71,0)))</f>
        <v>6536</v>
      </c>
      <c r="K7" s="80">
        <f>IF(ISERROR(VLOOKUP(MONTH(K5),Inputs!$D$66:$D$71,1,0)),"",INDEX(Inputs!$B$66:$B$71,MATCH(MONTH(Output!K5),Inputs!$D$66:$D$71,0))-INDEX(Inputs!$C$66:$C$71,MATCH(MONTH(Output!K5),Inputs!$D$66:$D$71,0)))</f>
        <v>-13772</v>
      </c>
      <c r="L7" s="80">
        <f>IF(ISERROR(VLOOKUP(MONTH(L5),Inputs!$D$66:$D$71,1,0)),"",INDEX(Inputs!$B$66:$B$71,MATCH(MONTH(Output!L5),Inputs!$D$66:$D$71,0))-INDEX(Inputs!$C$66:$C$71,MATCH(MONTH(Output!L5),Inputs!$D$66:$D$71,0)))</f>
        <v>20507</v>
      </c>
      <c r="M7" s="80">
        <f>IF(ISERROR(VLOOKUP(MONTH(M5),Inputs!$D$66:$D$71,1,0)),"",INDEX(Inputs!$B$66:$B$71,MATCH(MONTH(Output!M5),Inputs!$D$66:$D$71,0))-INDEX(Inputs!$C$66:$C$71,MATCH(MONTH(Output!M5),Inputs!$D$66:$D$71,0)))</f>
        <v>1089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13004</v>
      </c>
      <c r="U7" s="80">
        <f>IF(ISERROR(VLOOKUP(MONTH(U5),Inputs!$D$66:$D$71,1,0)),"",INDEX(Inputs!$B$66:$B$71,MATCH(MONTH(Output!U5),Inputs!$D$66:$D$71,0))-INDEX(Inputs!$C$66:$C$71,MATCH(MONTH(Output!U5),Inputs!$D$66:$D$71,0)))</f>
        <v>-2330</v>
      </c>
      <c r="V7" s="80">
        <f>IF(ISERROR(VLOOKUP(MONTH(V5),Inputs!$D$66:$D$71,1,0)),"",INDEX(Inputs!$B$66:$B$71,MATCH(MONTH(Output!V5),Inputs!$D$66:$D$71,0))-INDEX(Inputs!$C$66:$C$71,MATCH(MONTH(Output!V5),Inputs!$D$66:$D$71,0)))</f>
        <v>6536</v>
      </c>
      <c r="W7" s="80">
        <f>IF(ISERROR(VLOOKUP(MONTH(W5),Inputs!$D$66:$D$71,1,0)),"",INDEX(Inputs!$B$66:$B$71,MATCH(MONTH(Output!W5),Inputs!$D$66:$D$71,0))-INDEX(Inputs!$C$66:$C$71,MATCH(MONTH(Output!W5),Inputs!$D$66:$D$71,0)))</f>
        <v>-13772</v>
      </c>
      <c r="X7" s="80">
        <f>IF(ISERROR(VLOOKUP(MONTH(X5),Inputs!$D$66:$D$71,1,0)),"",INDEX(Inputs!$B$66:$B$71,MATCH(MONTH(Output!X5),Inputs!$D$66:$D$71,0))-INDEX(Inputs!$C$66:$C$71,MATCH(MONTH(Output!X5),Inputs!$D$66:$D$71,0)))</f>
        <v>20507</v>
      </c>
      <c r="Y7" s="80">
        <f>IF(ISERROR(VLOOKUP(MONTH(Y5),Inputs!$D$66:$D$71,1,0)),"",INDEX(Inputs!$B$66:$B$71,MATCH(MONTH(Output!Y5),Inputs!$D$66:$D$71,0))-INDEX(Inputs!$C$66:$C$71,MATCH(MONTH(Output!Y5),Inputs!$D$66:$D$71,0)))</f>
        <v>1089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30000</v>
      </c>
      <c r="P10" s="37">
        <f>SUMPRODUCT((Calculations!$D$33:$D$84=Output!P5)+0,Calculations!$C$33:$C$84)</f>
        <v>30000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270000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255204.6176000966</v>
      </c>
      <c r="C11" s="80">
        <f>C6+C9-C10</f>
        <v>131120.7457731608</v>
      </c>
      <c r="D11" s="80">
        <f>D6+D9-D10</f>
        <v>-60970.38239990337</v>
      </c>
      <c r="E11" s="80">
        <f>E6+E9-E10</f>
        <v>-87470.38239990338</v>
      </c>
      <c r="F11" s="80">
        <f>F6+F9-F10</f>
        <v>299444.7713593402</v>
      </c>
      <c r="G11" s="80">
        <f>G6+G9-G10</f>
        <v>-82058.48911927096</v>
      </c>
      <c r="H11" s="80">
        <f>H6+H9-H10</f>
        <v>-57578.90018646463</v>
      </c>
      <c r="I11" s="80">
        <f>I6+I9-I10</f>
        <v>118337.2279865995</v>
      </c>
      <c r="J11" s="80">
        <f>J6+J9-J10</f>
        <v>-73753.90018646463</v>
      </c>
      <c r="K11" s="80">
        <f>K6+K9-K10</f>
        <v>-165378.9001864646</v>
      </c>
      <c r="L11" s="80">
        <f>L6+L9-L10</f>
        <v>166661.2535727789</v>
      </c>
      <c r="M11" s="80">
        <f>M6+M9-M10</f>
        <v>-32758.90018646463</v>
      </c>
      <c r="N11" s="80">
        <f>N6+N9-N10</f>
        <v>-57578.90018646463</v>
      </c>
      <c r="O11" s="80">
        <f>O6+O9-O10</f>
        <v>118337.2279865995</v>
      </c>
      <c r="P11" s="80">
        <f>P6+P9-P10</f>
        <v>-73753.90018646463</v>
      </c>
      <c r="Q11" s="80">
        <f>Q6+Q9-Q10</f>
        <v>-40253.90018646463</v>
      </c>
      <c r="R11" s="80">
        <f>R6+R9-R10</f>
        <v>346661.2535727789</v>
      </c>
      <c r="S11" s="80">
        <f>S6+S9-S10</f>
        <v>-2758.900186464627</v>
      </c>
      <c r="T11" s="80">
        <f>T6+T9-T10</f>
        <v>-27578.90018646463</v>
      </c>
      <c r="U11" s="80">
        <f>U6+U9-U10</f>
        <v>148337.2279865995</v>
      </c>
      <c r="V11" s="80">
        <f>V6+V9-V10</f>
        <v>-43753.90018646463</v>
      </c>
      <c r="W11" s="80">
        <f>W6+W9-W10</f>
        <v>-40253.90018646463</v>
      </c>
      <c r="X11" s="80">
        <f>X6+X9-X10</f>
        <v>346661.2535727789</v>
      </c>
      <c r="Y11" s="80">
        <f>Y6+Y9-Y10</f>
        <v>-2758.900186464627</v>
      </c>
      <c r="Z11" s="85">
        <f>SUMIF($B$13:$Y$13,"Yes",B11:Y11)</f>
        <v>397803.1892407099</v>
      </c>
      <c r="AA11" s="80">
        <f>SUM(B11:M11)</f>
        <v>410798.7616270396</v>
      </c>
      <c r="AB11" s="46">
        <f>SUM(B11:Y11)</f>
        <v>1082104.523254079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0.1119885210264314</v>
      </c>
      <c r="F12" s="82">
        <f>IF(F13="Yes",IF(SUM($B$10:F10)/(SUM($B$6:F6)+SUM($B$9:F9))&lt;0,999.99,SUM($B$10:F10)/(SUM($B$6:F6)+SUM($B$9:F9))),"")</f>
        <v>0.1004470950536904</v>
      </c>
      <c r="G12" s="82">
        <f>IF(G13="Yes",IF(SUM($B$10:G10)/(SUM($B$6:G6)+SUM($B$9:G9))&lt;0,999.99,SUM($B$10:G10)/(SUM($B$6:G6)+SUM($B$9:G9))),"")</f>
        <v>0.165055577267805</v>
      </c>
      <c r="H12" s="82">
        <f>IF(H13="Yes",IF(SUM($B$10:H10)/(SUM($B$6:H6)+SUM($B$9:H9))&lt;0,999.99,SUM($B$10:H10)/(SUM($B$6:H6)+SUM($B$9:H9))),"")</f>
        <v>0.231798066206569</v>
      </c>
      <c r="I12" s="82">
        <f>IF(I13="Yes",IF(SUM($B$10:I10)/(SUM($B$6:I6)+SUM($B$9:I9))&lt;0,999.99,SUM($B$10:I10)/(SUM($B$6:I6)+SUM($B$9:I9))),"")</f>
        <v>0.2252153480058723</v>
      </c>
      <c r="J12" s="82">
        <f>IF(J13="Yes",IF(SUM($B$10:J10)/(SUM($B$6:J6)+SUM($B$9:J9))&lt;0,999.99,SUM($B$10:J10)/(SUM($B$6:J6)+SUM($B$9:J9))),"")</f>
        <v>0.289261035368658</v>
      </c>
      <c r="K12" s="82">
        <f>IF(K13="Yes",IF(SUM($B$10:K10)/(SUM($B$6:K6)+SUM($B$9:K9))&lt;0,999.99,SUM($B$10:K10)/(SUM($B$6:K6)+SUM($B$9:K9))),"")</f>
        <v>0.4313032432479443</v>
      </c>
      <c r="L12" s="82">
        <f>IF(L13="Yes",IF(SUM($B$10:L10)/(SUM($B$6:L6)+SUM($B$9:L9))&lt;0,999.99,SUM($B$10:L10)/(SUM($B$6:L6)+SUM($B$9:L9))),"")</f>
        <v>0.3511042497325989</v>
      </c>
      <c r="M12" s="82">
        <f>IF(M13="Yes",IF(SUM($B$10:M10)/(SUM($B$6:M6)+SUM($B$9:M9))&lt;0,999.99,SUM($B$10:M10)/(SUM($B$6:M6)+SUM($B$9:M9))),"")</f>
        <v>0.3965929658196314</v>
      </c>
      <c r="N12" s="82">
        <f>IF(N13="Yes",IF(SUM($B$10:N10)/(SUM($B$6:N6)+SUM($B$9:N9))&lt;0,999.99,SUM($B$10:N10)/(SUM($B$6:N6)+SUM($B$9:N9))),"")</f>
        <v>0.4592634390179082</v>
      </c>
      <c r="O12" s="82">
        <f>IF(O13="Yes",IF(SUM($B$10:O10)/(SUM($B$6:O6)+SUM($B$9:O9))&lt;0,999.99,SUM($B$10:O10)/(SUM($B$6:O6)+SUM($B$9:O9))),"")</f>
        <v>0.4116986854122037</v>
      </c>
      <c r="P12" s="82">
        <f>IF(P13="Yes",IF(SUM($B$10:P10)/(SUM($B$6:P6)+SUM($B$9:P9))&lt;0,999.99,SUM($B$10:P10)/(SUM($B$6:P6)+SUM($B$9:P9))),"")</f>
        <v>0.4750573831191002</v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41680.92133863136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41680.92133863136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41680.92133863136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41680.92133863136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83361.84267726271</v>
      </c>
      <c r="AA18" s="36">
        <f>SUM(B18:M18)</f>
        <v>83361.84267726271</v>
      </c>
      <c r="AB18" s="36">
        <f>SUM(B18:Y18)</f>
        <v>166723.6853545254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185091.1281730642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185091.1281730642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185091.1281730642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185091.1281730642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555273.3845191925</v>
      </c>
      <c r="AA19" s="36">
        <f>SUM(B19:M19)</f>
        <v>370182.2563461284</v>
      </c>
      <c r="AB19" s="36">
        <f>SUM(B19:Y19)</f>
        <v>740364.5126922567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336234.2324206122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336234.2324206122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336234.2324206122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336234.2324206122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672468.4648412244</v>
      </c>
      <c r="AA20" s="36">
        <f>SUM(B20:M20)</f>
        <v>672468.4648412244</v>
      </c>
      <c r="AB20" s="36">
        <f>SUM(B20:Y20)</f>
        <v>1344936.929682449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8316.541353383456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1129.761904761904</v>
      </c>
      <c r="C24" s="36">
        <f>IFERROR(Calculations!$P14/12,"")</f>
        <v>1129.761904761904</v>
      </c>
      <c r="D24" s="36">
        <f>IFERROR(Calculations!$P14/12,"")</f>
        <v>1129.761904761904</v>
      </c>
      <c r="E24" s="36">
        <f>IFERROR(Calculations!$P14/12,"")</f>
        <v>1129.761904761904</v>
      </c>
      <c r="F24" s="36">
        <f>IFERROR(Calculations!$P14/12,"")</f>
        <v>1129.761904761904</v>
      </c>
      <c r="G24" s="36">
        <f>IFERROR(Calculations!$P14/12,"")</f>
        <v>1129.761904761904</v>
      </c>
      <c r="H24" s="36">
        <f>IFERROR(Calculations!$P14/12,"")</f>
        <v>1129.761904761904</v>
      </c>
      <c r="I24" s="36">
        <f>IFERROR(Calculations!$P14/12,"")</f>
        <v>1129.761904761904</v>
      </c>
      <c r="J24" s="36">
        <f>IFERROR(Calculations!$P14/12,"")</f>
        <v>1129.761904761904</v>
      </c>
      <c r="K24" s="36">
        <f>IFERROR(Calculations!$P14/12,"")</f>
        <v>1129.761904761904</v>
      </c>
      <c r="L24" s="36">
        <f>IFERROR(Calculations!$P14/12,"")</f>
        <v>1129.761904761904</v>
      </c>
      <c r="M24" s="36">
        <f>IFERROR(Calculations!$P14/12,"")</f>
        <v>1129.761904761904</v>
      </c>
      <c r="N24" s="36">
        <f>IFERROR(Calculations!$P14/12,"")</f>
        <v>1129.761904761904</v>
      </c>
      <c r="O24" s="36">
        <f>IFERROR(Calculations!$P14/12,"")</f>
        <v>1129.761904761904</v>
      </c>
      <c r="P24" s="36">
        <f>IFERROR(Calculations!$P14/12,"")</f>
        <v>1129.761904761904</v>
      </c>
      <c r="Q24" s="36">
        <f>IFERROR(Calculations!$P14/12,"")</f>
        <v>1129.761904761904</v>
      </c>
      <c r="R24" s="36">
        <f>IFERROR(Calculations!$P14/12,"")</f>
        <v>1129.761904761904</v>
      </c>
      <c r="S24" s="36">
        <f>IFERROR(Calculations!$P14/12,"")</f>
        <v>1129.761904761904</v>
      </c>
      <c r="T24" s="36">
        <f>IFERROR(Calculations!$P14/12,"")</f>
        <v>1129.761904761904</v>
      </c>
      <c r="U24" s="36">
        <f>IFERROR(Calculations!$P14/12,"")</f>
        <v>1129.761904761904</v>
      </c>
      <c r="V24" s="36">
        <f>IFERROR(Calculations!$P14/12,"")</f>
        <v>1129.761904761904</v>
      </c>
      <c r="W24" s="36">
        <f>IFERROR(Calculations!$P14/12,"")</f>
        <v>1129.761904761904</v>
      </c>
      <c r="X24" s="36">
        <f>IFERROR(Calculations!$P14/12,"")</f>
        <v>1129.761904761904</v>
      </c>
      <c r="Y24" s="36">
        <f>IFERROR(Calculations!$P14/12,"")</f>
        <v>1129.761904761904</v>
      </c>
      <c r="Z24" s="36">
        <f>SUMIF($B$13:$Y$13,"Yes",B24:Y24)</f>
        <v>16946.42857142857</v>
      </c>
      <c r="AA24" s="36">
        <f>SUM(B24:M24)</f>
        <v>13557.14285714285</v>
      </c>
      <c r="AB24" s="46">
        <f>SUM(B24:Y24)</f>
        <v>27114.28571428571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1341.666666666667</v>
      </c>
      <c r="C25" s="36">
        <f>IFERROR(Calculations!$P15/12,"")</f>
        <v>1341.666666666667</v>
      </c>
      <c r="D25" s="36">
        <f>IFERROR(Calculations!$P15/12,"")</f>
        <v>1341.666666666667</v>
      </c>
      <c r="E25" s="36">
        <f>IFERROR(Calculations!$P15/12,"")</f>
        <v>1341.666666666667</v>
      </c>
      <c r="F25" s="36">
        <f>IFERROR(Calculations!$P15/12,"")</f>
        <v>1341.666666666667</v>
      </c>
      <c r="G25" s="36">
        <f>IFERROR(Calculations!$P15/12,"")</f>
        <v>1341.666666666667</v>
      </c>
      <c r="H25" s="36">
        <f>IFERROR(Calculations!$P15/12,"")</f>
        <v>1341.666666666667</v>
      </c>
      <c r="I25" s="36">
        <f>IFERROR(Calculations!$P15/12,"")</f>
        <v>1341.666666666667</v>
      </c>
      <c r="J25" s="36">
        <f>IFERROR(Calculations!$P15/12,"")</f>
        <v>1341.666666666667</v>
      </c>
      <c r="K25" s="36">
        <f>IFERROR(Calculations!$P15/12,"")</f>
        <v>1341.666666666667</v>
      </c>
      <c r="L25" s="36">
        <f>IFERROR(Calculations!$P15/12,"")</f>
        <v>1341.666666666667</v>
      </c>
      <c r="M25" s="36">
        <f>IFERROR(Calculations!$P15/12,"")</f>
        <v>1341.666666666667</v>
      </c>
      <c r="N25" s="36">
        <f>IFERROR(Calculations!$P15/12,"")</f>
        <v>1341.666666666667</v>
      </c>
      <c r="O25" s="36">
        <f>IFERROR(Calculations!$P15/12,"")</f>
        <v>1341.666666666667</v>
      </c>
      <c r="P25" s="36">
        <f>IFERROR(Calculations!$P15/12,"")</f>
        <v>1341.666666666667</v>
      </c>
      <c r="Q25" s="36">
        <f>IFERROR(Calculations!$P15/12,"")</f>
        <v>1341.666666666667</v>
      </c>
      <c r="R25" s="36">
        <f>IFERROR(Calculations!$P15/12,"")</f>
        <v>1341.666666666667</v>
      </c>
      <c r="S25" s="36">
        <f>IFERROR(Calculations!$P15/12,"")</f>
        <v>1341.666666666667</v>
      </c>
      <c r="T25" s="36">
        <f>IFERROR(Calculations!$P15/12,"")</f>
        <v>1341.666666666667</v>
      </c>
      <c r="U25" s="36">
        <f>IFERROR(Calculations!$P15/12,"")</f>
        <v>1341.666666666667</v>
      </c>
      <c r="V25" s="36">
        <f>IFERROR(Calculations!$P15/12,"")</f>
        <v>1341.666666666667</v>
      </c>
      <c r="W25" s="36">
        <f>IFERROR(Calculations!$P15/12,"")</f>
        <v>1341.666666666667</v>
      </c>
      <c r="X25" s="36">
        <f>IFERROR(Calculations!$P15/12,"")</f>
        <v>1341.666666666667</v>
      </c>
      <c r="Y25" s="36">
        <f>IFERROR(Calculations!$P15/12,"")</f>
        <v>1341.666666666667</v>
      </c>
      <c r="Z25" s="36">
        <f>SUMIF($B$13:$Y$13,"Yes",B25:Y25)</f>
        <v>20125</v>
      </c>
      <c r="AA25" s="36">
        <f>SUM(B25:M25)</f>
        <v>16099.99999999999</v>
      </c>
      <c r="AB25" s="46">
        <f>SUM(B25:Y25)</f>
        <v>32200.00000000001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4875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4875</v>
      </c>
      <c r="AA27" s="36">
        <f>SUM(B27:M27)</f>
        <v>4875</v>
      </c>
      <c r="AB27" s="46">
        <f>SUM(B27:Y27)</f>
        <v>4875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44000</v>
      </c>
      <c r="C29" s="37">
        <f>Inputs!$B$30</f>
        <v>44000</v>
      </c>
      <c r="D29" s="37">
        <f>Inputs!$B$30</f>
        <v>44000</v>
      </c>
      <c r="E29" s="37">
        <f>Inputs!$B$30</f>
        <v>44000</v>
      </c>
      <c r="F29" s="37">
        <f>Inputs!$B$30</f>
        <v>44000</v>
      </c>
      <c r="G29" s="37">
        <f>Inputs!$B$30</f>
        <v>44000</v>
      </c>
      <c r="H29" s="37">
        <f>Inputs!$B$30</f>
        <v>44000</v>
      </c>
      <c r="I29" s="37">
        <f>Inputs!$B$30</f>
        <v>44000</v>
      </c>
      <c r="J29" s="37">
        <f>Inputs!$B$30</f>
        <v>44000</v>
      </c>
      <c r="K29" s="37">
        <f>Inputs!$B$30</f>
        <v>44000</v>
      </c>
      <c r="L29" s="37">
        <f>Inputs!$B$30</f>
        <v>44000</v>
      </c>
      <c r="M29" s="37">
        <f>Inputs!$B$30</f>
        <v>44000</v>
      </c>
      <c r="N29" s="37">
        <f>Inputs!$B$30</f>
        <v>44000</v>
      </c>
      <c r="O29" s="37">
        <f>Inputs!$B$30</f>
        <v>44000</v>
      </c>
      <c r="P29" s="37">
        <f>Inputs!$B$30</f>
        <v>44000</v>
      </c>
      <c r="Q29" s="37">
        <f>Inputs!$B$30</f>
        <v>44000</v>
      </c>
      <c r="R29" s="37">
        <f>Inputs!$B$30</f>
        <v>44000</v>
      </c>
      <c r="S29" s="37">
        <f>Inputs!$B$30</f>
        <v>44000</v>
      </c>
      <c r="T29" s="37">
        <f>Inputs!$B$30</f>
        <v>44000</v>
      </c>
      <c r="U29" s="37">
        <f>Inputs!$B$30</f>
        <v>44000</v>
      </c>
      <c r="V29" s="37">
        <f>Inputs!$B$30</f>
        <v>44000</v>
      </c>
      <c r="W29" s="37">
        <f>Inputs!$B$30</f>
        <v>44000</v>
      </c>
      <c r="X29" s="37">
        <f>Inputs!$B$30</f>
        <v>44000</v>
      </c>
      <c r="Y29" s="37">
        <f>Inputs!$B$30</f>
        <v>44000</v>
      </c>
      <c r="Z29" s="37">
        <f>SUMIF($B$13:$Y$13,"Yes",B29:Y29)</f>
        <v>660000</v>
      </c>
      <c r="AA29" s="37">
        <f>SUM(B29:M29)</f>
        <v>528000</v>
      </c>
      <c r="AB29" s="37">
        <f>SUM(B29:Y29)</f>
        <v>1056000</v>
      </c>
    </row>
    <row r="30" spans="1:30" customHeight="1" ht="15.75">
      <c r="A30" s="1" t="s">
        <v>37</v>
      </c>
      <c r="B30" s="19">
        <f>SUM(B18:B29)</f>
        <v>46471.42857142857</v>
      </c>
      <c r="C30" s="19">
        <f>SUM(C18:C29)</f>
        <v>231562.5567444927</v>
      </c>
      <c r="D30" s="19">
        <f>SUM(D18:D29)</f>
        <v>46471.42857142857</v>
      </c>
      <c r="E30" s="19">
        <f>SUM(E18:E29)</f>
        <v>46471.42857142857</v>
      </c>
      <c r="F30" s="19">
        <f>SUM(F18:F29)</f>
        <v>424386.5823306721</v>
      </c>
      <c r="G30" s="19">
        <f>SUM(G18:G29)</f>
        <v>46471.42857142857</v>
      </c>
      <c r="H30" s="19">
        <f>SUM(H18:H29)</f>
        <v>46471.42857142857</v>
      </c>
      <c r="I30" s="19">
        <f>SUM(I18:I29)</f>
        <v>231562.5567444927</v>
      </c>
      <c r="J30" s="19">
        <f>SUM(J18:J29)</f>
        <v>46471.42857142857</v>
      </c>
      <c r="K30" s="19">
        <f>SUM(K18:K29)</f>
        <v>51346.42857142857</v>
      </c>
      <c r="L30" s="19">
        <f>SUM(L18:L29)</f>
        <v>424386.5823306721</v>
      </c>
      <c r="M30" s="19">
        <f>SUM(M18:M29)</f>
        <v>46471.42857142857</v>
      </c>
      <c r="N30" s="19">
        <f>SUM(N18:N29)</f>
        <v>46471.42857142857</v>
      </c>
      <c r="O30" s="19">
        <f>SUM(O18:O29)</f>
        <v>231562.5567444927</v>
      </c>
      <c r="P30" s="19">
        <f>SUM(P18:P29)</f>
        <v>46471.42857142857</v>
      </c>
      <c r="Q30" s="19">
        <f>SUM(Q18:Q29)</f>
        <v>46471.42857142857</v>
      </c>
      <c r="R30" s="19">
        <f>SUM(R18:R29)</f>
        <v>424386.5823306721</v>
      </c>
      <c r="S30" s="19">
        <f>SUM(S18:S29)</f>
        <v>46471.42857142857</v>
      </c>
      <c r="T30" s="19">
        <f>SUM(T18:T29)</f>
        <v>46471.42857142857</v>
      </c>
      <c r="U30" s="19">
        <f>SUM(U18:U29)</f>
        <v>231562.5567444927</v>
      </c>
      <c r="V30" s="19">
        <f>SUM(V18:V29)</f>
        <v>46471.42857142857</v>
      </c>
      <c r="W30" s="19">
        <f>SUM(W18:W29)</f>
        <v>46471.42857142857</v>
      </c>
      <c r="X30" s="19">
        <f>SUM(X18:X29)</f>
        <v>424386.5823306721</v>
      </c>
      <c r="Y30" s="19">
        <f>SUM(Y18:Y29)</f>
        <v>46471.42857142857</v>
      </c>
      <c r="Z30" s="19">
        <f>SUMIF($B$13:$Y$13,"Yes",B30:Y30)</f>
        <v>2013050.120609108</v>
      </c>
      <c r="AA30" s="19">
        <f>SUM(B30:M30)</f>
        <v>1688544.706721758</v>
      </c>
      <c r="AB30" s="19">
        <f>SUM(B30:Y30)</f>
        <v>3372214.413443517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4000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6000</v>
      </c>
      <c r="I36" s="36">
        <f>U36</f>
        <v>4000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4000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6000</v>
      </c>
      <c r="U36" s="36">
        <f>SUM(U37:U41)</f>
        <v>4000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36000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Beans</v>
      </c>
      <c r="B37" s="36">
        <f>N37</f>
        <v>6000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6000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6000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6000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18000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4000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4000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4000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4000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12000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7500</v>
      </c>
      <c r="C42" s="36">
        <f>O42</f>
        <v>1500</v>
      </c>
      <c r="D42" s="36">
        <f>P42</f>
        <v>1500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7500</v>
      </c>
      <c r="I42" s="36">
        <f>U42</f>
        <v>1500</v>
      </c>
      <c r="J42" s="36">
        <f>V42</f>
        <v>1500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7500</v>
      </c>
      <c r="O42" s="36">
        <f>SUM(O43:O47)</f>
        <v>1500</v>
      </c>
      <c r="P42" s="36">
        <f>SUM(P43:P47)</f>
        <v>1500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7500</v>
      </c>
      <c r="U42" s="36">
        <f>SUM(U43:U47)</f>
        <v>1500</v>
      </c>
      <c r="V42" s="36">
        <f>SUM(V43:V47)</f>
        <v>1500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31500</v>
      </c>
      <c r="AA42" s="36">
        <f>SUM(B42:M42)</f>
        <v>21000</v>
      </c>
      <c r="AB42" s="36">
        <f>SUM(B42:Y42)</f>
        <v>42000</v>
      </c>
    </row>
    <row r="43" spans="1:30" hidden="true" outlineLevel="1">
      <c r="A43" s="181" t="str">
        <f>Calculations!$A$4</f>
        <v>Beans</v>
      </c>
      <c r="B43" s="36">
        <f>N43</f>
        <v>7500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22500</v>
      </c>
      <c r="AA43" s="36">
        <f>SUM(B43:M43)</f>
        <v>15000</v>
      </c>
      <c r="AB43" s="36">
        <f>SUM(B43:Y43)</f>
        <v>30000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1500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1500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1500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1500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4500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 t="str">
        <f>Calculations!$A$6</f>
        <v>Tomatoes</v>
      </c>
      <c r="B45" s="36">
        <f>N45</f>
        <v>0</v>
      </c>
      <c r="C45" s="36">
        <f>O45</f>
        <v>1500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1500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1500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1500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4500</v>
      </c>
      <c r="AA45" s="36">
        <f>SUM(B45:M45)</f>
        <v>3000</v>
      </c>
      <c r="AB45" s="36">
        <f>SUM(B45:Y45)</f>
        <v>6000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9000</v>
      </c>
      <c r="E48" s="36">
        <f>Q48</f>
        <v>9000</v>
      </c>
      <c r="F48" s="36">
        <f>R48</f>
        <v>0</v>
      </c>
      <c r="G48" s="36">
        <f>S48</f>
        <v>2000</v>
      </c>
      <c r="H48" s="36">
        <f>T48</f>
        <v>0</v>
      </c>
      <c r="I48" s="36">
        <f>U48</f>
        <v>0</v>
      </c>
      <c r="J48" s="36">
        <f>V48</f>
        <v>9000</v>
      </c>
      <c r="K48" s="36">
        <f>W48</f>
        <v>9000</v>
      </c>
      <c r="L48" s="36">
        <f>X48</f>
        <v>0</v>
      </c>
      <c r="M48" s="36">
        <f>Y48</f>
        <v>2000</v>
      </c>
      <c r="N48" s="46">
        <f>SUM(N49:N53)</f>
        <v>0</v>
      </c>
      <c r="O48" s="46">
        <f>SUM(O49:O53)</f>
        <v>0</v>
      </c>
      <c r="P48" s="46">
        <f>SUM(P49:P53)</f>
        <v>9000</v>
      </c>
      <c r="Q48" s="46">
        <f>SUM(Q49:Q53)</f>
        <v>9000</v>
      </c>
      <c r="R48" s="46">
        <f>SUM(R49:R53)</f>
        <v>0</v>
      </c>
      <c r="S48" s="46">
        <f>SUM(S49:S53)</f>
        <v>2000</v>
      </c>
      <c r="T48" s="46">
        <f>SUM(T49:T53)</f>
        <v>0</v>
      </c>
      <c r="U48" s="46">
        <f>SUM(U49:U53)</f>
        <v>0</v>
      </c>
      <c r="V48" s="46">
        <f>SUM(V49:V53)</f>
        <v>9000</v>
      </c>
      <c r="W48" s="46">
        <f>SUM(W49:W53)</f>
        <v>9000</v>
      </c>
      <c r="X48" s="46">
        <f>SUM(X49:X53)</f>
        <v>0</v>
      </c>
      <c r="Y48" s="46">
        <f>SUM(Y49:Y53)</f>
        <v>2000</v>
      </c>
      <c r="Z48" s="46">
        <f>SUMIF($B$13:$Y$13,"Yes",B48:Y48)</f>
        <v>49000</v>
      </c>
      <c r="AA48" s="46">
        <f>SUM(B48:M48)</f>
        <v>40000</v>
      </c>
      <c r="AB48" s="46">
        <f>SUM(B48:Y48)</f>
        <v>80000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9000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27000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2000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2000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2000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2000</v>
      </c>
      <c r="Z50" s="46">
        <f>SUMIF($B$13:$Y$13,"Yes",B50:Y50)</f>
        <v>4000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9000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9000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9000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9000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18000</v>
      </c>
      <c r="AA51" s="46">
        <f>SUM(B51:M51)</f>
        <v>18000</v>
      </c>
      <c r="AB51" s="46">
        <f>SUM(B51:Y51)</f>
        <v>36000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4766.666666666667</v>
      </c>
      <c r="C60" s="36">
        <f>O60</f>
        <v>7766.666666666667</v>
      </c>
      <c r="D60" s="36">
        <f>P60</f>
        <v>7766.666666666667</v>
      </c>
      <c r="E60" s="36">
        <f>Q60</f>
        <v>7766.666666666667</v>
      </c>
      <c r="F60" s="36">
        <f>R60</f>
        <v>7766.666666666667</v>
      </c>
      <c r="G60" s="36">
        <f>S60</f>
        <v>1166.666666666667</v>
      </c>
      <c r="H60" s="36">
        <f>T60</f>
        <v>4766.666666666667</v>
      </c>
      <c r="I60" s="36">
        <f>U60</f>
        <v>7766.666666666667</v>
      </c>
      <c r="J60" s="36">
        <f>V60</f>
        <v>7766.666666666667</v>
      </c>
      <c r="K60" s="36">
        <f>W60</f>
        <v>7766.666666666667</v>
      </c>
      <c r="L60" s="36">
        <f>X60</f>
        <v>7766.666666666667</v>
      </c>
      <c r="M60" s="36">
        <f>Y60</f>
        <v>1166.666666666667</v>
      </c>
      <c r="N60" s="46">
        <f>SUM(N61:N65)</f>
        <v>4766.666666666667</v>
      </c>
      <c r="O60" s="46">
        <f>SUM(O61:O65)</f>
        <v>7766.666666666667</v>
      </c>
      <c r="P60" s="46">
        <f>SUM(P61:P65)</f>
        <v>7766.666666666667</v>
      </c>
      <c r="Q60" s="46">
        <f>SUM(Q61:Q65)</f>
        <v>7766.666666666667</v>
      </c>
      <c r="R60" s="46">
        <f>SUM(R61:R65)</f>
        <v>7766.666666666667</v>
      </c>
      <c r="S60" s="46">
        <f>SUM(S61:S65)</f>
        <v>1166.666666666667</v>
      </c>
      <c r="T60" s="46">
        <f>SUM(T61:T65)</f>
        <v>4766.666666666667</v>
      </c>
      <c r="U60" s="46">
        <f>SUM(U61:U65)</f>
        <v>7766.666666666667</v>
      </c>
      <c r="V60" s="46">
        <f>SUM(V61:V65)</f>
        <v>7766.666666666667</v>
      </c>
      <c r="W60" s="46">
        <f>SUM(W61:W65)</f>
        <v>7766.666666666667</v>
      </c>
      <c r="X60" s="46">
        <f>SUM(X61:X65)</f>
        <v>7766.666666666667</v>
      </c>
      <c r="Y60" s="46">
        <f>SUM(Y61:Y65)</f>
        <v>1166.666666666667</v>
      </c>
      <c r="Z60" s="46">
        <f>SUMIF($B$13:$Y$13,"Yes",B60:Y60)</f>
        <v>94300.00000000001</v>
      </c>
      <c r="AA60" s="46">
        <f>SUM(B60:M60)</f>
        <v>74000</v>
      </c>
      <c r="AB60" s="46">
        <f>SUM(B60:Y60)</f>
        <v>148000</v>
      </c>
    </row>
    <row r="61" spans="1:30" hidden="true" outlineLevel="1">
      <c r="A61" s="181" t="str">
        <f>Calculations!$A$4</f>
        <v>Beans</v>
      </c>
      <c r="B61" s="36">
        <f>N61</f>
        <v>3600</v>
      </c>
      <c r="C61" s="36">
        <f>O61</f>
        <v>3600</v>
      </c>
      <c r="D61" s="36">
        <f>P61</f>
        <v>3600</v>
      </c>
      <c r="E61" s="36">
        <f>Q61</f>
        <v>3600</v>
      </c>
      <c r="F61" s="36">
        <f>R61</f>
        <v>3600</v>
      </c>
      <c r="G61" s="36">
        <f>S61</f>
        <v>0</v>
      </c>
      <c r="H61" s="36">
        <f>T61</f>
        <v>3600</v>
      </c>
      <c r="I61" s="36">
        <f>U61</f>
        <v>3600</v>
      </c>
      <c r="J61" s="36">
        <f>V61</f>
        <v>3600</v>
      </c>
      <c r="K61" s="36">
        <f>W61</f>
        <v>3600</v>
      </c>
      <c r="L61" s="36">
        <f>X61</f>
        <v>3600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3600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3600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3600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3600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3600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3600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3600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3600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3600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3600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46800</v>
      </c>
      <c r="AA61" s="46">
        <f>SUM(B61:M61)</f>
        <v>36000</v>
      </c>
      <c r="AB61" s="46">
        <f>SUM(B61:Y61)</f>
        <v>72000</v>
      </c>
    </row>
    <row r="62" spans="1:30" hidden="true" outlineLevel="1">
      <c r="A62" s="181" t="str">
        <f>Calculations!$A$5</f>
        <v>Onions</v>
      </c>
      <c r="B62" s="36">
        <f>N62</f>
        <v>1166.666666666667</v>
      </c>
      <c r="C62" s="36">
        <f>O62</f>
        <v>1166.666666666667</v>
      </c>
      <c r="D62" s="36">
        <f>P62</f>
        <v>1166.666666666667</v>
      </c>
      <c r="E62" s="36">
        <f>Q62</f>
        <v>1166.666666666667</v>
      </c>
      <c r="F62" s="36">
        <f>R62</f>
        <v>1166.666666666667</v>
      </c>
      <c r="G62" s="36">
        <f>S62</f>
        <v>1166.666666666667</v>
      </c>
      <c r="H62" s="36">
        <f>T62</f>
        <v>1166.666666666667</v>
      </c>
      <c r="I62" s="36">
        <f>U62</f>
        <v>1166.666666666667</v>
      </c>
      <c r="J62" s="36">
        <f>V62</f>
        <v>1166.666666666667</v>
      </c>
      <c r="K62" s="36">
        <f>W62</f>
        <v>1166.666666666667</v>
      </c>
      <c r="L62" s="36">
        <f>X62</f>
        <v>1166.666666666667</v>
      </c>
      <c r="M62" s="36">
        <f>Y62</f>
        <v>1166.666666666667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1166.666666666667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1166.666666666667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1166.666666666667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1166.666666666667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1166.666666666667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1166.666666666667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1166.666666666667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1166.666666666667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1166.666666666667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1166.666666666667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1166.666666666667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1166.666666666667</v>
      </c>
      <c r="Z62" s="46">
        <f>SUMIF($B$13:$Y$13,"Yes",B62:Y62)</f>
        <v>17500</v>
      </c>
      <c r="AA62" s="46">
        <f>SUM(B62:M62)</f>
        <v>14000</v>
      </c>
      <c r="AB62" s="46">
        <f>SUM(B62:Y62)</f>
        <v>28000.00000000001</v>
      </c>
    </row>
    <row r="63" spans="1:30" hidden="true" outlineLevel="1">
      <c r="A63" s="181" t="str">
        <f>Calculations!$A$6</f>
        <v>Tomatoes</v>
      </c>
      <c r="B63" s="36">
        <f>N63</f>
        <v>0</v>
      </c>
      <c r="C63" s="36">
        <f>O63</f>
        <v>3000</v>
      </c>
      <c r="D63" s="36">
        <f>P63</f>
        <v>3000</v>
      </c>
      <c r="E63" s="36">
        <f>Q63</f>
        <v>3000</v>
      </c>
      <c r="F63" s="36">
        <f>R63</f>
        <v>3000</v>
      </c>
      <c r="G63" s="36">
        <f>S63</f>
        <v>0</v>
      </c>
      <c r="H63" s="36">
        <f>T63</f>
        <v>0</v>
      </c>
      <c r="I63" s="36">
        <f>U63</f>
        <v>3000</v>
      </c>
      <c r="J63" s="36">
        <f>V63</f>
        <v>3000</v>
      </c>
      <c r="K63" s="36">
        <f>W63</f>
        <v>3000</v>
      </c>
      <c r="L63" s="36">
        <f>X63</f>
        <v>3000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3000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3000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3000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3000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3000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3000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3000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3000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30000</v>
      </c>
      <c r="AA63" s="46">
        <f>SUM(B63:M63)</f>
        <v>24000</v>
      </c>
      <c r="AB63" s="46">
        <f>SUM(B63:Y63)</f>
        <v>48000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11745</v>
      </c>
      <c r="C66" s="36">
        <f>O66</f>
        <v>25920</v>
      </c>
      <c r="D66" s="36">
        <f>P66</f>
        <v>25920</v>
      </c>
      <c r="E66" s="36">
        <f>Q66</f>
        <v>25920</v>
      </c>
      <c r="F66" s="36">
        <f>R66</f>
        <v>25920</v>
      </c>
      <c r="G66" s="36">
        <f>S66</f>
        <v>2025</v>
      </c>
      <c r="H66" s="36">
        <f>T66</f>
        <v>11745</v>
      </c>
      <c r="I66" s="36">
        <f>U66</f>
        <v>25920</v>
      </c>
      <c r="J66" s="36">
        <f>V66</f>
        <v>25920</v>
      </c>
      <c r="K66" s="36">
        <f>W66</f>
        <v>25920</v>
      </c>
      <c r="L66" s="36">
        <f>X66</f>
        <v>25920</v>
      </c>
      <c r="M66" s="36">
        <f>Y66</f>
        <v>2025</v>
      </c>
      <c r="N66" s="46">
        <f>SUM(N67:N71)</f>
        <v>11745</v>
      </c>
      <c r="O66" s="46">
        <f>SUM(O67:O71)</f>
        <v>25920</v>
      </c>
      <c r="P66" s="46">
        <f>SUM(P67:P71)</f>
        <v>25920</v>
      </c>
      <c r="Q66" s="46">
        <f>SUM(Q67:Q71)</f>
        <v>25920</v>
      </c>
      <c r="R66" s="46">
        <f>SUM(R67:R71)</f>
        <v>25920</v>
      </c>
      <c r="S66" s="46">
        <f>SUM(S67:S71)</f>
        <v>2025</v>
      </c>
      <c r="T66" s="46">
        <f>SUM(T67:T71)</f>
        <v>11745</v>
      </c>
      <c r="U66" s="46">
        <f>SUM(U67:U71)</f>
        <v>25920</v>
      </c>
      <c r="V66" s="46">
        <f>SUM(V67:V71)</f>
        <v>25920</v>
      </c>
      <c r="W66" s="46">
        <f>SUM(W67:W71)</f>
        <v>25920</v>
      </c>
      <c r="X66" s="46">
        <f>SUM(X67:X71)</f>
        <v>25920</v>
      </c>
      <c r="Y66" s="46">
        <f>SUM(Y67:Y71)</f>
        <v>2025</v>
      </c>
      <c r="Z66" s="46">
        <f>SUMIF($B$13:$Y$13,"Yes",B66:Y66)</f>
        <v>298485</v>
      </c>
      <c r="AA66" s="46">
        <f>SUM(B66:M66)</f>
        <v>234900</v>
      </c>
      <c r="AB66" s="46">
        <f>SUM(B66:Y66)</f>
        <v>469800</v>
      </c>
    </row>
    <row r="67" spans="1:30" hidden="true" outlineLevel="1">
      <c r="A67" s="181" t="str">
        <f>Calculations!$A$4</f>
        <v>Beans</v>
      </c>
      <c r="B67" s="36">
        <f>N67</f>
        <v>9720</v>
      </c>
      <c r="C67" s="36">
        <f>O67</f>
        <v>9720</v>
      </c>
      <c r="D67" s="36">
        <f>P67</f>
        <v>9720</v>
      </c>
      <c r="E67" s="36">
        <f>Q67</f>
        <v>9720</v>
      </c>
      <c r="F67" s="36">
        <f>R67</f>
        <v>9720</v>
      </c>
      <c r="G67" s="36">
        <f>S67</f>
        <v>0</v>
      </c>
      <c r="H67" s="36">
        <f>T67</f>
        <v>9720</v>
      </c>
      <c r="I67" s="36">
        <f>U67</f>
        <v>9720</v>
      </c>
      <c r="J67" s="36">
        <f>V67</f>
        <v>9720</v>
      </c>
      <c r="K67" s="36">
        <f>W67</f>
        <v>9720</v>
      </c>
      <c r="L67" s="36">
        <f>X67</f>
        <v>9720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9720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9720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9720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9720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9720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9720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9720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9720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9720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9720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126360</v>
      </c>
      <c r="AA67" s="46">
        <f>SUM(B67:M67)</f>
        <v>97200</v>
      </c>
      <c r="AB67" s="46">
        <f>SUM(B67:Y67)</f>
        <v>194400</v>
      </c>
    </row>
    <row r="68" spans="1:30" hidden="true" outlineLevel="1">
      <c r="A68" s="181" t="str">
        <f>Calculations!$A$5</f>
        <v>Onions</v>
      </c>
      <c r="B68" s="36">
        <f>N68</f>
        <v>2025</v>
      </c>
      <c r="C68" s="36">
        <f>O68</f>
        <v>2025</v>
      </c>
      <c r="D68" s="36">
        <f>P68</f>
        <v>2025</v>
      </c>
      <c r="E68" s="36">
        <f>Q68</f>
        <v>2025</v>
      </c>
      <c r="F68" s="36">
        <f>R68</f>
        <v>2025</v>
      </c>
      <c r="G68" s="36">
        <f>S68</f>
        <v>2025</v>
      </c>
      <c r="H68" s="36">
        <f>T68</f>
        <v>2025</v>
      </c>
      <c r="I68" s="36">
        <f>U68</f>
        <v>2025</v>
      </c>
      <c r="J68" s="36">
        <f>V68</f>
        <v>2025</v>
      </c>
      <c r="K68" s="36">
        <f>W68</f>
        <v>2025</v>
      </c>
      <c r="L68" s="36">
        <f>X68</f>
        <v>2025</v>
      </c>
      <c r="M68" s="36">
        <f>Y68</f>
        <v>2025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2025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2025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2025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2025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2025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2025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2025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2025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2025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2025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2025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2025</v>
      </c>
      <c r="Z68" s="46">
        <f>SUMIF($B$13:$Y$13,"Yes",B68:Y68)</f>
        <v>30375</v>
      </c>
      <c r="AA68" s="46">
        <f>SUM(B68:M68)</f>
        <v>24300</v>
      </c>
      <c r="AB68" s="46">
        <f>SUM(B68:Y68)</f>
        <v>48600</v>
      </c>
    </row>
    <row r="69" spans="1:30" hidden="true" outlineLevel="1">
      <c r="A69" s="181" t="str">
        <f>Calculations!$A$6</f>
        <v>Tomatoes</v>
      </c>
      <c r="B69" s="36">
        <f>N69</f>
        <v>0</v>
      </c>
      <c r="C69" s="36">
        <f>O69</f>
        <v>14175</v>
      </c>
      <c r="D69" s="36">
        <f>P69</f>
        <v>14175</v>
      </c>
      <c r="E69" s="36">
        <f>Q69</f>
        <v>14175</v>
      </c>
      <c r="F69" s="36">
        <f>R69</f>
        <v>14175</v>
      </c>
      <c r="G69" s="36">
        <f>S69</f>
        <v>0</v>
      </c>
      <c r="H69" s="36">
        <f>T69</f>
        <v>0</v>
      </c>
      <c r="I69" s="36">
        <f>U69</f>
        <v>14175</v>
      </c>
      <c r="J69" s="36">
        <f>V69</f>
        <v>14175</v>
      </c>
      <c r="K69" s="36">
        <f>W69</f>
        <v>14175</v>
      </c>
      <c r="L69" s="36">
        <f>X69</f>
        <v>14175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14175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14175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14175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14175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14175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14175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14175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14175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141750</v>
      </c>
      <c r="AA69" s="46">
        <f>SUM(B69:M69)</f>
        <v>113400</v>
      </c>
      <c r="AB69" s="46">
        <f>SUM(B69:Y69)</f>
        <v>226800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988.5416666666666</v>
      </c>
      <c r="C74" s="46">
        <f>SUM(Calculations!$Q$14:$Q$16)/12</f>
        <v>988.5416666666666</v>
      </c>
      <c r="D74" s="46">
        <f>SUM(Calculations!$Q$14:$Q$16)/12</f>
        <v>988.5416666666666</v>
      </c>
      <c r="E74" s="46">
        <f>SUM(Calculations!$Q$14:$Q$16)/12</f>
        <v>988.5416666666666</v>
      </c>
      <c r="F74" s="46">
        <f>SUM(Calculations!$Q$14:$Q$16)/12</f>
        <v>988.5416666666666</v>
      </c>
      <c r="G74" s="46">
        <f>SUM(Calculations!$Q$14:$Q$16)/12</f>
        <v>988.5416666666666</v>
      </c>
      <c r="H74" s="46">
        <f>SUM(Calculations!$Q$14:$Q$16)/12</f>
        <v>988.5416666666666</v>
      </c>
      <c r="I74" s="46">
        <f>SUM(Calculations!$Q$14:$Q$16)/12</f>
        <v>988.5416666666666</v>
      </c>
      <c r="J74" s="46">
        <f>SUM(Calculations!$Q$14:$Q$16)/12</f>
        <v>988.5416666666666</v>
      </c>
      <c r="K74" s="46">
        <f>SUM(Calculations!$Q$14:$Q$16)/12</f>
        <v>988.5416666666666</v>
      </c>
      <c r="L74" s="46">
        <f>SUM(Calculations!$Q$14:$Q$16)/12</f>
        <v>988.5416666666666</v>
      </c>
      <c r="M74" s="46">
        <f>SUM(Calculations!$Q$14:$Q$16)/12</f>
        <v>988.5416666666666</v>
      </c>
      <c r="N74" s="46">
        <f>SUM(Calculations!$Q$14:$Q$16)/12</f>
        <v>988.5416666666666</v>
      </c>
      <c r="O74" s="46">
        <f>SUM(Calculations!$Q$14:$Q$16)/12</f>
        <v>988.5416666666666</v>
      </c>
      <c r="P74" s="46">
        <f>SUM(Calculations!$Q$14:$Q$16)/12</f>
        <v>988.5416666666666</v>
      </c>
      <c r="Q74" s="46">
        <f>SUM(Calculations!$Q$14:$Q$16)/12</f>
        <v>988.5416666666666</v>
      </c>
      <c r="R74" s="46">
        <f>SUM(Calculations!$Q$14:$Q$16)/12</f>
        <v>988.5416666666666</v>
      </c>
      <c r="S74" s="46">
        <f>SUM(Calculations!$Q$14:$Q$16)/12</f>
        <v>988.5416666666666</v>
      </c>
      <c r="T74" s="46">
        <f>SUM(Calculations!$Q$14:$Q$16)/12</f>
        <v>988.5416666666666</v>
      </c>
      <c r="U74" s="46">
        <f>SUM(Calculations!$Q$14:$Q$16)/12</f>
        <v>988.5416666666666</v>
      </c>
      <c r="V74" s="46">
        <f>SUM(Calculations!$Q$14:$Q$16)/12</f>
        <v>988.5416666666666</v>
      </c>
      <c r="W74" s="46">
        <f>SUM(Calculations!$Q$14:$Q$16)/12</f>
        <v>988.5416666666666</v>
      </c>
      <c r="X74" s="46">
        <f>SUM(Calculations!$Q$14:$Q$16)/12</f>
        <v>988.5416666666666</v>
      </c>
      <c r="Y74" s="46">
        <f>SUM(Calculations!$Q$14:$Q$16)/12</f>
        <v>988.5416666666666</v>
      </c>
      <c r="Z74" s="46">
        <f>SUMIF($B$13:$Y$13,"Yes",B74:Y74)</f>
        <v>14828.125</v>
      </c>
      <c r="AA74" s="46">
        <f>SUM(B74:M74)</f>
        <v>11862.5</v>
      </c>
      <c r="AB74" s="46">
        <f>SUM(B74:Y74)</f>
        <v>23725</v>
      </c>
    </row>
    <row r="75" spans="1:30">
      <c r="A75" s="16" t="s">
        <v>47</v>
      </c>
      <c r="B75" s="46">
        <f>SUM(Calculations!$R$14:$R$16)/12</f>
        <v>138</v>
      </c>
      <c r="C75" s="46">
        <f>SUM(Calculations!$R$14:$R$16)/12</f>
        <v>138</v>
      </c>
      <c r="D75" s="46">
        <f>SUM(Calculations!$R$14:$R$16)/12</f>
        <v>138</v>
      </c>
      <c r="E75" s="46">
        <f>SUM(Calculations!$R$14:$R$16)/12</f>
        <v>138</v>
      </c>
      <c r="F75" s="46">
        <f>SUM(Calculations!$R$14:$R$16)/12</f>
        <v>138</v>
      </c>
      <c r="G75" s="46">
        <f>SUM(Calculations!$R$14:$R$16)/12</f>
        <v>138</v>
      </c>
      <c r="H75" s="46">
        <f>SUM(Calculations!$R$14:$R$16)/12</f>
        <v>138</v>
      </c>
      <c r="I75" s="46">
        <f>SUM(Calculations!$R$14:$R$16)/12</f>
        <v>138</v>
      </c>
      <c r="J75" s="46">
        <f>SUM(Calculations!$R$14:$R$16)/12</f>
        <v>138</v>
      </c>
      <c r="K75" s="46">
        <f>SUM(Calculations!$R$14:$R$16)/12</f>
        <v>138</v>
      </c>
      <c r="L75" s="46">
        <f>SUM(Calculations!$R$14:$R$16)/12</f>
        <v>138</v>
      </c>
      <c r="M75" s="46">
        <f>SUM(Calculations!$R$14:$R$16)/12</f>
        <v>138</v>
      </c>
      <c r="N75" s="46">
        <f>SUM(Calculations!$R$14:$R$16)/12</f>
        <v>138</v>
      </c>
      <c r="O75" s="46">
        <f>SUM(Calculations!$R$14:$R$16)/12</f>
        <v>138</v>
      </c>
      <c r="P75" s="46">
        <f>SUM(Calculations!$R$14:$R$16)/12</f>
        <v>138</v>
      </c>
      <c r="Q75" s="46">
        <f>SUM(Calculations!$R$14:$R$16)/12</f>
        <v>138</v>
      </c>
      <c r="R75" s="46">
        <f>SUM(Calculations!$R$14:$R$16)/12</f>
        <v>138</v>
      </c>
      <c r="S75" s="46">
        <f>SUM(Calculations!$R$14:$R$16)/12</f>
        <v>138</v>
      </c>
      <c r="T75" s="46">
        <f>SUM(Calculations!$R$14:$R$16)/12</f>
        <v>138</v>
      </c>
      <c r="U75" s="46">
        <f>SUM(Calculations!$R$14:$R$16)/12</f>
        <v>138</v>
      </c>
      <c r="V75" s="46">
        <f>SUM(Calculations!$R$14:$R$16)/12</f>
        <v>138</v>
      </c>
      <c r="W75" s="46">
        <f>SUM(Calculations!$R$14:$R$16)/12</f>
        <v>138</v>
      </c>
      <c r="X75" s="46">
        <f>SUM(Calculations!$R$14:$R$16)/12</f>
        <v>138</v>
      </c>
      <c r="Y75" s="46">
        <f>SUM(Calculations!$R$14:$R$16)/12</f>
        <v>138</v>
      </c>
      <c r="Z75" s="46">
        <f>SUMIF($B$13:$Y$13,"Yes",B75:Y75)</f>
        <v>2070</v>
      </c>
      <c r="AA75" s="46">
        <f>SUM(B75:M75)</f>
        <v>1656</v>
      </c>
      <c r="AB75" s="46">
        <f>SUM(B75:Y75)</f>
        <v>3312</v>
      </c>
    </row>
    <row r="76" spans="1:30">
      <c r="A76" s="16" t="s">
        <v>48</v>
      </c>
      <c r="B76" s="46">
        <f>SUM(Calculations!$S$14:$S$16)/12</f>
        <v>346.5225563909774</v>
      </c>
      <c r="C76" s="46">
        <f>SUM(Calculations!$S$14:$S$16)/12</f>
        <v>346.5225563909774</v>
      </c>
      <c r="D76" s="46">
        <f>SUM(Calculations!$S$14:$S$16)/12</f>
        <v>346.5225563909774</v>
      </c>
      <c r="E76" s="46">
        <f>SUM(Calculations!$S$14:$S$16)/12</f>
        <v>346.5225563909774</v>
      </c>
      <c r="F76" s="46">
        <f>SUM(Calculations!$S$14:$S$16)/12</f>
        <v>346.5225563909774</v>
      </c>
      <c r="G76" s="46">
        <f>SUM(Calculations!$S$14:$S$16)/12</f>
        <v>346.5225563909774</v>
      </c>
      <c r="H76" s="46">
        <f>SUM(Calculations!$S$14:$S$16)/12</f>
        <v>346.5225563909774</v>
      </c>
      <c r="I76" s="46">
        <f>SUM(Calculations!$S$14:$S$16)/12</f>
        <v>346.5225563909774</v>
      </c>
      <c r="J76" s="46">
        <f>SUM(Calculations!$S$14:$S$16)/12</f>
        <v>346.5225563909774</v>
      </c>
      <c r="K76" s="46">
        <f>SUM(Calculations!$S$14:$S$16)/12</f>
        <v>346.5225563909774</v>
      </c>
      <c r="L76" s="46">
        <f>SUM(Calculations!$S$14:$S$16)/12</f>
        <v>346.5225563909774</v>
      </c>
      <c r="M76" s="46">
        <f>SUM(Calculations!$S$14:$S$16)/12</f>
        <v>346.5225563909774</v>
      </c>
      <c r="N76" s="46">
        <f>SUM(Calculations!$S$14:$S$16)/12</f>
        <v>346.5225563909774</v>
      </c>
      <c r="O76" s="46">
        <f>SUM(Calculations!$S$14:$S$16)/12</f>
        <v>346.5225563909774</v>
      </c>
      <c r="P76" s="46">
        <f>SUM(Calculations!$S$14:$S$16)/12</f>
        <v>346.5225563909774</v>
      </c>
      <c r="Q76" s="46">
        <f>SUM(Calculations!$S$14:$S$16)/12</f>
        <v>346.5225563909774</v>
      </c>
      <c r="R76" s="46">
        <f>SUM(Calculations!$S$14:$S$16)/12</f>
        <v>346.5225563909774</v>
      </c>
      <c r="S76" s="46">
        <f>SUM(Calculations!$S$14:$S$16)/12</f>
        <v>346.5225563909774</v>
      </c>
      <c r="T76" s="46">
        <f>SUM(Calculations!$S$14:$S$16)/12</f>
        <v>346.5225563909774</v>
      </c>
      <c r="U76" s="46">
        <f>SUM(Calculations!$S$14:$S$16)/12</f>
        <v>346.5225563909774</v>
      </c>
      <c r="V76" s="46">
        <f>SUM(Calculations!$S$14:$S$16)/12</f>
        <v>346.5225563909774</v>
      </c>
      <c r="W76" s="46">
        <f>SUM(Calculations!$S$14:$S$16)/12</f>
        <v>346.5225563909774</v>
      </c>
      <c r="X76" s="46">
        <f>SUM(Calculations!$S$14:$S$16)/12</f>
        <v>346.5225563909774</v>
      </c>
      <c r="Y76" s="46">
        <f>SUM(Calculations!$S$14:$S$16)/12</f>
        <v>346.5225563909774</v>
      </c>
      <c r="Z76" s="46">
        <f>SUMIF($B$13:$Y$13,"Yes",B76:Y76)</f>
        <v>5197.838345864661</v>
      </c>
      <c r="AA76" s="46">
        <f>SUM(B76:M76)</f>
        <v>4158.27067669173</v>
      </c>
      <c r="AB76" s="46">
        <f>SUM(B76:Y76)</f>
        <v>8316.541353383456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100000</v>
      </c>
      <c r="L80" s="46">
        <f>SUMPRODUCT((Inputs!$D$35:$D$36=MONTH(Output!L35))+0,Inputs!$B$35:$B$36)</f>
        <v>150000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250000</v>
      </c>
      <c r="AA80" s="46">
        <f>SUM(B80:M80)</f>
        <v>250000</v>
      </c>
      <c r="AB80" s="46">
        <f>SUM(B80:Y80)</f>
        <v>250000</v>
      </c>
    </row>
    <row r="81" spans="1:30">
      <c r="A81" s="43" t="s">
        <v>51</v>
      </c>
      <c r="B81" s="46">
        <f>(SUM($AA$18:$AA$29)-SUM($AA$36,$AA$42,$AA$48,$AA$54,$AA$60,$AA$66,$AA$72:$AA$79))*Parameters!$B$37/12</f>
        <v>42565.59786816889</v>
      </c>
      <c r="C81" s="46">
        <f>(SUM($AA$18:$AA$29)-SUM($AA$36,$AA$42,$AA$48,$AA$54,$AA$60,$AA$66,$AA$72:$AA$79))*Parameters!$B$37/12</f>
        <v>42565.59786816889</v>
      </c>
      <c r="D81" s="46">
        <f>(SUM($AA$18:$AA$29)-SUM($AA$36,$AA$42,$AA$48,$AA$54,$AA$60,$AA$66,$AA$72:$AA$79))*Parameters!$B$37/12</f>
        <v>42565.59786816889</v>
      </c>
      <c r="E81" s="46">
        <f>(SUM($AA$18:$AA$29)-SUM($AA$36,$AA$42,$AA$48,$AA$54,$AA$60,$AA$66,$AA$72:$AA$79))*Parameters!$B$37/12</f>
        <v>42565.59786816889</v>
      </c>
      <c r="F81" s="46">
        <f>(SUM($AA$18:$AA$29)-SUM($AA$36,$AA$42,$AA$48,$AA$54,$AA$60,$AA$66,$AA$72:$AA$79))*Parameters!$B$37/12</f>
        <v>42565.59786816889</v>
      </c>
      <c r="G81" s="46">
        <f>(SUM($AA$18:$AA$29)-SUM($AA$36,$AA$42,$AA$48,$AA$54,$AA$60,$AA$66,$AA$72:$AA$79))*Parameters!$B$37/12</f>
        <v>42565.59786816889</v>
      </c>
      <c r="H81" s="46">
        <f>(SUM($AA$18:$AA$29)-SUM($AA$36,$AA$42,$AA$48,$AA$54,$AA$60,$AA$66,$AA$72:$AA$79))*Parameters!$B$37/12</f>
        <v>42565.59786816889</v>
      </c>
      <c r="I81" s="46">
        <f>(SUM($AA$18:$AA$29)-SUM($AA$36,$AA$42,$AA$48,$AA$54,$AA$60,$AA$66,$AA$72:$AA$79))*Parameters!$B$37/12</f>
        <v>42565.59786816889</v>
      </c>
      <c r="J81" s="46">
        <f>(SUM($AA$18:$AA$29)-SUM($AA$36,$AA$42,$AA$48,$AA$54,$AA$60,$AA$66,$AA$72:$AA$79))*Parameters!$B$37/12</f>
        <v>42565.59786816889</v>
      </c>
      <c r="K81" s="46">
        <f>(SUM($AA$18:$AA$29)-SUM($AA$36,$AA$42,$AA$48,$AA$54,$AA$60,$AA$66,$AA$72:$AA$79))*Parameters!$B$37/12</f>
        <v>42565.59786816889</v>
      </c>
      <c r="L81" s="46">
        <f>(SUM($AA$18:$AA$29)-SUM($AA$36,$AA$42,$AA$48,$AA$54,$AA$60,$AA$66,$AA$72:$AA$79))*Parameters!$B$37/12</f>
        <v>42565.59786816889</v>
      </c>
      <c r="M81" s="46">
        <f>(SUM($AA$18:$AA$29)-SUM($AA$36,$AA$42,$AA$48,$AA$54,$AA$60,$AA$66,$AA$72:$AA$79))*Parameters!$B$37/12</f>
        <v>42565.59786816889</v>
      </c>
      <c r="N81" s="46">
        <f>(SUM($AA$18:$AA$29)-SUM($AA$36,$AA$42,$AA$48,$AA$54,$AA$60,$AA$66,$AA$72:$AA$79))*Parameters!$B$37/12</f>
        <v>42565.59786816889</v>
      </c>
      <c r="O81" s="46">
        <f>(SUM($AA$18:$AA$29)-SUM($AA$36,$AA$42,$AA$48,$AA$54,$AA$60,$AA$66,$AA$72:$AA$79))*Parameters!$B$37/12</f>
        <v>42565.59786816889</v>
      </c>
      <c r="P81" s="46">
        <f>(SUM($AA$18:$AA$29)-SUM($AA$36,$AA$42,$AA$48,$AA$54,$AA$60,$AA$66,$AA$72:$AA$79))*Parameters!$B$37/12</f>
        <v>42565.59786816889</v>
      </c>
      <c r="Q81" s="46">
        <f>(SUM($AA$18:$AA$29)-SUM($AA$36,$AA$42,$AA$48,$AA$54,$AA$60,$AA$66,$AA$72:$AA$79))*Parameters!$B$37/12</f>
        <v>42565.59786816889</v>
      </c>
      <c r="R81" s="46">
        <f>(SUM($AA$18:$AA$29)-SUM($AA$36,$AA$42,$AA$48,$AA$54,$AA$60,$AA$66,$AA$72:$AA$79))*Parameters!$B$37/12</f>
        <v>42565.59786816889</v>
      </c>
      <c r="S81" s="46">
        <f>(SUM($AA$18:$AA$29)-SUM($AA$36,$AA$42,$AA$48,$AA$54,$AA$60,$AA$66,$AA$72:$AA$79))*Parameters!$B$37/12</f>
        <v>42565.59786816889</v>
      </c>
      <c r="T81" s="46">
        <f>(SUM($AA$18:$AA$29)-SUM($AA$36,$AA$42,$AA$48,$AA$54,$AA$60,$AA$66,$AA$72:$AA$79))*Parameters!$B$37/12</f>
        <v>42565.59786816889</v>
      </c>
      <c r="U81" s="46">
        <f>(SUM($AA$18:$AA$29)-SUM($AA$36,$AA$42,$AA$48,$AA$54,$AA$60,$AA$66,$AA$72:$AA$79))*Parameters!$B$37/12</f>
        <v>42565.59786816889</v>
      </c>
      <c r="V81" s="46">
        <f>(SUM($AA$18:$AA$29)-SUM($AA$36,$AA$42,$AA$48,$AA$54,$AA$60,$AA$66,$AA$72:$AA$79))*Parameters!$B$37/12</f>
        <v>42565.59786816889</v>
      </c>
      <c r="W81" s="46">
        <f>(SUM($AA$18:$AA$29)-SUM($AA$36,$AA$42,$AA$48,$AA$54,$AA$60,$AA$66,$AA$72:$AA$79))*Parameters!$B$37/12</f>
        <v>42565.59786816889</v>
      </c>
      <c r="X81" s="46">
        <f>(SUM($AA$18:$AA$29)-SUM($AA$36,$AA$42,$AA$48,$AA$54,$AA$60,$AA$66,$AA$72:$AA$79))*Parameters!$B$37/12</f>
        <v>42565.59786816889</v>
      </c>
      <c r="Y81" s="46">
        <f>(SUM($AA$18:$AA$29)-SUM($AA$36,$AA$42,$AA$48,$AA$54,$AA$60,$AA$66,$AA$72:$AA$79))*Parameters!$B$37/12</f>
        <v>42565.59786816889</v>
      </c>
      <c r="Z81" s="46">
        <f>SUMIF($B$13:$Y$13,"Yes",B81:Y81)</f>
        <v>638483.9680225333</v>
      </c>
      <c r="AA81" s="46">
        <f>SUM(B81:M81)</f>
        <v>510787.1744180268</v>
      </c>
      <c r="AB81" s="46">
        <f>SUM(B81:Y81)</f>
        <v>1021574.348836053</v>
      </c>
    </row>
    <row r="82" spans="1:30">
      <c r="A82" s="16" t="s">
        <v>52</v>
      </c>
      <c r="B82" s="46">
        <f>SUM(B83:B87)</f>
        <v>17216.48221343874</v>
      </c>
      <c r="C82" s="46">
        <f>SUM(C83:C87)</f>
        <v>17216.48221343874</v>
      </c>
      <c r="D82" s="46">
        <f>SUM(D83:D87)</f>
        <v>17216.48221343874</v>
      </c>
      <c r="E82" s="46">
        <f>SUM(E83:E87)</f>
        <v>17216.48221343874</v>
      </c>
      <c r="F82" s="46">
        <f>SUM(F83:F87)</f>
        <v>17216.48221343874</v>
      </c>
      <c r="G82" s="46">
        <f>SUM(G83:G87)</f>
        <v>49299.58893280632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135382</v>
      </c>
      <c r="AA82" s="46">
        <f>SUM(B82:M82)</f>
        <v>135382</v>
      </c>
      <c r="AB82" s="46">
        <f>SUM(B82:Y82)</f>
        <v>135382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17216.48221343874</v>
      </c>
      <c r="C84" s="46">
        <f>IF(Calculations!$E24&gt;COUNT(Output!$B$35:C$35),Calculations!$B24,IF(Calculations!$E24=COUNT(Output!$B$35:C$35),Inputs!$B57-Calculations!$C24*(Calculations!$E24-1)+Calculations!$D24,0))</f>
        <v>17216.48221343874</v>
      </c>
      <c r="D84" s="46">
        <f>IF(Calculations!$E24&gt;COUNT(Output!$B$35:D$35),Calculations!$B24,IF(Calculations!$E24=COUNT(Output!$B$35:D$35),Inputs!$B57-Calculations!$C24*(Calculations!$E24-1)+Calculations!$D24,0))</f>
        <v>17216.48221343874</v>
      </c>
      <c r="E84" s="46">
        <f>IF(Calculations!$E24&gt;COUNT(Output!$B$35:E$35),Calculations!$B24,IF(Calculations!$E24=COUNT(Output!$B$35:E$35),Inputs!$B57-Calculations!$C24*(Calculations!$E24-1)+Calculations!$D24,0))</f>
        <v>17216.48221343874</v>
      </c>
      <c r="F84" s="46">
        <f>IF(Calculations!$E24&gt;COUNT(Output!$B$35:F$35),Calculations!$B24,IF(Calculations!$E24=COUNT(Output!$B$35:F$35),Inputs!$B57-Calculations!$C24*(Calculations!$E24-1)+Calculations!$D24,0))</f>
        <v>17216.48221343874</v>
      </c>
      <c r="G84" s="46">
        <f>IF(Calculations!$E24&gt;COUNT(Output!$B$35:G$35),Calculations!$B24,IF(Calculations!$E24=COUNT(Output!$B$35:G$35),Inputs!$B57-Calculations!$C24*(Calculations!$E24-1)+Calculations!$D24,0))</f>
        <v>49299.58893280632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135382</v>
      </c>
      <c r="AA84" s="46">
        <f>SUM(B84:M84)</f>
        <v>135382</v>
      </c>
      <c r="AB84" s="46">
        <f>SUM(B84:Y84)</f>
        <v>135382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91266.81097133194</v>
      </c>
      <c r="C88" s="19">
        <f>SUM(C72:C82,C66,C60,C54,C48,C42,C36)</f>
        <v>100441.8109713319</v>
      </c>
      <c r="D88" s="19">
        <f>SUM(D72:D82,D66,D60,D54,D48,D42,D36)</f>
        <v>107441.8109713319</v>
      </c>
      <c r="E88" s="19">
        <f>SUM(E72:E82,E66,E60,E54,E48,E42,E36)</f>
        <v>103941.8109713319</v>
      </c>
      <c r="F88" s="19">
        <f>SUM(F72:F82,F66,F60,F54,F48,F42,F36)</f>
        <v>94941.81097133194</v>
      </c>
      <c r="G88" s="19">
        <f>SUM(G72:G82,G66,G60,G54,G48,G42,G36)</f>
        <v>98529.91769069953</v>
      </c>
      <c r="H88" s="19">
        <f>SUM(H72:H82,H66,H60,H54,H48,H42,H36)</f>
        <v>74050.32875789321</v>
      </c>
      <c r="I88" s="19">
        <f>SUM(I72:I82,I66,I60,I54,I48,I42,I36)</f>
        <v>83225.32875789321</v>
      </c>
      <c r="J88" s="19">
        <f>SUM(J72:J82,J66,J60,J54,J48,J42,J36)</f>
        <v>90225.32875789321</v>
      </c>
      <c r="K88" s="19">
        <f>SUM(K72:K82,K66,K60,K54,K48,K42,K36)</f>
        <v>186725.3287578932</v>
      </c>
      <c r="L88" s="19">
        <f>SUM(L72:L82,L66,L60,L54,L48,L42,L36)</f>
        <v>227725.3287578932</v>
      </c>
      <c r="M88" s="19">
        <f>SUM(M72:M82,M66,M60,M54,M48,M42,M36)</f>
        <v>49230.3287578932</v>
      </c>
      <c r="N88" s="19">
        <f>SUM(N72:N82,N66,N60,N54,N48,N42,N36)</f>
        <v>74050.32875789321</v>
      </c>
      <c r="O88" s="19">
        <f>SUM(O72:O82,O66,O60,O54,O48,O42,O36)</f>
        <v>83225.32875789321</v>
      </c>
      <c r="P88" s="19">
        <f>SUM(P72:P82,P66,P60,P54,P48,P42,P36)</f>
        <v>90225.32875789321</v>
      </c>
      <c r="Q88" s="19">
        <f>SUM(Q72:Q82,Q66,Q60,Q54,Q48,Q42,Q36)</f>
        <v>86725.32875789321</v>
      </c>
      <c r="R88" s="19">
        <f>SUM(R72:R82,R66,R60,R54,R48,R42,R36)</f>
        <v>77725.32875789321</v>
      </c>
      <c r="S88" s="19">
        <f>SUM(S72:S82,S66,S60,S54,S48,S42,S36)</f>
        <v>49230.3287578932</v>
      </c>
      <c r="T88" s="19">
        <f>SUM(T72:T82,T66,T60,T54,T48,T42,T36)</f>
        <v>74050.32875789321</v>
      </c>
      <c r="U88" s="19">
        <f>SUM(U72:U82,U66,U60,U54,U48,U42,U36)</f>
        <v>83225.32875789321</v>
      </c>
      <c r="V88" s="19">
        <f>SUM(V72:V82,V66,V60,V54,V48,V42,V36)</f>
        <v>90225.32875789321</v>
      </c>
      <c r="W88" s="19">
        <f>SUM(W72:W82,W66,W60,W54,W48,W42,W36)</f>
        <v>86725.32875789321</v>
      </c>
      <c r="X88" s="19">
        <f>SUM(X72:X82,X66,X60,X54,X48,X42,X36)</f>
        <v>77725.32875789321</v>
      </c>
      <c r="Y88" s="19">
        <f>SUM(Y72:Y82,Y66,Y60,Y54,Y48,Y42,Y36)</f>
        <v>49230.3287578932</v>
      </c>
      <c r="Z88" s="19">
        <f>SUMIF($B$13:$Y$13,"Yes",B88:Y88)</f>
        <v>1555246.931368398</v>
      </c>
      <c r="AA88" s="19">
        <f>SUM(B88:M88)</f>
        <v>1307745.945094719</v>
      </c>
      <c r="AB88" s="19">
        <f>SUM(B88:Y88)</f>
        <v>2230109.890189438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97500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66000000</v>
      </c>
    </row>
    <row r="98" spans="1:30">
      <c r="A98" t="s">
        <v>64</v>
      </c>
      <c r="B98" s="36">
        <f>IF(Inputs!B44="Yes",Inputs!B45,0)</f>
        <v>200000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66549000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102382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402382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30</v>
      </c>
      <c r="D19" s="145">
        <v>10</v>
      </c>
      <c r="E19" s="20"/>
      <c r="F19" s="145" t="s">
        <v>92</v>
      </c>
      <c r="G19" s="20"/>
      <c r="H19" s="20"/>
      <c r="I19" s="145" t="s">
        <v>113</v>
      </c>
      <c r="J19" s="145">
        <v>5</v>
      </c>
      <c r="K19" s="145">
        <v>100</v>
      </c>
      <c r="L19" s="25">
        <v>9</v>
      </c>
    </row>
    <row r="20" spans="1:48">
      <c r="A20" s="143" t="s">
        <v>114</v>
      </c>
      <c r="B20" s="16"/>
      <c r="C20" s="143">
        <v>7</v>
      </c>
      <c r="D20" s="147"/>
      <c r="E20" s="16"/>
      <c r="F20" s="147" t="s">
        <v>92</v>
      </c>
      <c r="G20" s="16"/>
      <c r="H20" s="16"/>
      <c r="I20" s="147" t="s">
        <v>113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10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44000</v>
      </c>
    </row>
    <row r="31" spans="1:48">
      <c r="A31" s="5" t="s">
        <v>121</v>
      </c>
      <c r="B31" s="158">
        <v>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 t="s">
        <v>127</v>
      </c>
      <c r="B35" s="159">
        <v>150000</v>
      </c>
      <c r="C35" s="145" t="s">
        <v>128</v>
      </c>
      <c r="D35" s="49">
        <f>IFERROR(VLOOKUP(C35,Parameters!$C$79:$D$90,2,0),"")</f>
        <v>1</v>
      </c>
    </row>
    <row r="36" spans="1:48">
      <c r="A36" s="144" t="s">
        <v>129</v>
      </c>
      <c r="B36" s="158">
        <v>100000</v>
      </c>
      <c r="C36" s="150" t="s">
        <v>130</v>
      </c>
      <c r="D36" s="49">
        <f>IFERROR(VLOOKUP(C36,Parameters!$C$79:$D$90,2,0),"")</f>
        <v>12</v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92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92</v>
      </c>
    </row>
    <row r="45" spans="1:48">
      <c r="A45" s="56" t="s">
        <v>138</v>
      </c>
      <c r="B45" s="161">
        <v>200000</v>
      </c>
    </row>
    <row r="46" spans="1:48" customHeight="1" ht="30">
      <c r="A46" s="57" t="s">
        <v>139</v>
      </c>
      <c r="B46" s="161">
        <v>200000</v>
      </c>
    </row>
    <row r="47" spans="1:48" customHeight="1" ht="30">
      <c r="A47" s="57" t="s">
        <v>140</v>
      </c>
      <c r="B47" s="161">
        <v>50000</v>
      </c>
    </row>
    <row r="48" spans="1:48" customHeight="1" ht="30">
      <c r="A48" s="57" t="s">
        <v>141</v>
      </c>
      <c r="B48" s="161">
        <v>0</v>
      </c>
    </row>
    <row r="49" spans="1:48" customHeight="1" ht="30">
      <c r="A49" s="57" t="s">
        <v>142</v>
      </c>
      <c r="B49" s="161">
        <v>1500</v>
      </c>
    </row>
    <row r="50" spans="1:48">
      <c r="A50" s="43"/>
      <c r="B50" s="36"/>
    </row>
    <row r="51" spans="1:48">
      <c r="A51" s="58" t="s">
        <v>143</v>
      </c>
      <c r="B51" s="161">
        <v>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>
        <v>620000</v>
      </c>
      <c r="B56" s="159">
        <v>0</v>
      </c>
      <c r="C56" s="162" t="s">
        <v>151</v>
      </c>
      <c r="D56" s="163" t="s">
        <v>152</v>
      </c>
      <c r="E56" s="163" t="s">
        <v>92</v>
      </c>
      <c r="F56" s="163" t="s">
        <v>153</v>
      </c>
    </row>
    <row r="57" spans="1:48">
      <c r="A57" s="157">
        <v>300000</v>
      </c>
      <c r="B57" s="157">
        <v>102382</v>
      </c>
      <c r="C57" s="164" t="s">
        <v>154</v>
      </c>
      <c r="D57" s="165" t="s">
        <v>155</v>
      </c>
      <c r="E57" s="165" t="s">
        <v>92</v>
      </c>
      <c r="F57" s="165" t="s">
        <v>156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158</v>
      </c>
      <c r="C65" s="10" t="s">
        <v>159</v>
      </c>
    </row>
    <row r="66" spans="1:48">
      <c r="A66" s="142" t="s">
        <v>160</v>
      </c>
      <c r="B66" s="159">
        <v>57839</v>
      </c>
      <c r="C66" s="163">
        <v>56750</v>
      </c>
      <c r="D66" s="49">
        <f>INDEX(Parameters!$D$79:$D$90,MATCH(Inputs!A66,Parameters!$C$79:$C$90,0))</f>
        <v>2</v>
      </c>
    </row>
    <row r="67" spans="1:48">
      <c r="A67" s="143" t="s">
        <v>128</v>
      </c>
      <c r="B67" s="157">
        <v>174916</v>
      </c>
      <c r="C67" s="165">
        <v>154409</v>
      </c>
      <c r="D67" s="49">
        <f>INDEX(Parameters!$D$79:$D$90,MATCH(Inputs!A67,Parameters!$C$79:$C$90,0))</f>
        <v>1</v>
      </c>
    </row>
    <row r="68" spans="1:48">
      <c r="A68" s="143" t="s">
        <v>130</v>
      </c>
      <c r="B68" s="157">
        <v>151625</v>
      </c>
      <c r="C68" s="165">
        <v>165397</v>
      </c>
      <c r="D68" s="49">
        <f>INDEX(Parameters!$D$79:$D$90,MATCH(Inputs!A68,Parameters!$C$79:$C$90,0))</f>
        <v>12</v>
      </c>
    </row>
    <row r="69" spans="1:48">
      <c r="A69" s="143" t="s">
        <v>161</v>
      </c>
      <c r="B69" s="157">
        <v>206476</v>
      </c>
      <c r="C69" s="165">
        <v>199940</v>
      </c>
      <c r="D69" s="49">
        <f>INDEX(Parameters!$D$79:$D$90,MATCH(Inputs!A69,Parameters!$C$79:$C$90,0))</f>
        <v>11</v>
      </c>
    </row>
    <row r="70" spans="1:48">
      <c r="A70" s="143" t="s">
        <v>162</v>
      </c>
      <c r="B70" s="157">
        <v>152252</v>
      </c>
      <c r="C70" s="165">
        <v>154582</v>
      </c>
      <c r="D70" s="49">
        <f>INDEX(Parameters!$D$79:$D$90,MATCH(Inputs!A70,Parameters!$C$79:$C$90,0))</f>
        <v>10</v>
      </c>
    </row>
    <row r="71" spans="1:48">
      <c r="A71" s="144" t="s">
        <v>163</v>
      </c>
      <c r="B71" s="158">
        <v>115979</v>
      </c>
      <c r="C71" s="167">
        <v>102975</v>
      </c>
      <c r="D71" s="49">
        <f>INDEX(Parameters!$D$79:$D$90,MATCH(Inputs!A71,Parameters!$C$79:$C$90,0))</f>
        <v>9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16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300000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3</v>
      </c>
    </row>
    <row r="85" spans="1:48">
      <c r="A85" t="s">
        <v>177</v>
      </c>
      <c r="B85" s="169">
        <v>36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1790.802205741412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83361.84267726271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43221</v>
      </c>
      <c r="C5" s="39">
        <f>IFERROR(DATE(YEAR(B5),MONTH(B5)+ROUND(T5/2,0),DAY(B5)),B5)</f>
        <v>43313</v>
      </c>
      <c r="D5" s="39">
        <f>IFERROR(DATE(YEAR(B5),MONTH(B5)+T5,DAY(B5)),"")</f>
        <v>43374</v>
      </c>
      <c r="E5" s="39">
        <f>IFERROR(IF($S5=0,"",IF($S5=2,DATE(YEAR(B5),MONTH(B5)+6,DAY(B5)),IF($S5=1,B5,""))),"")</f>
        <v>43405</v>
      </c>
      <c r="F5" s="39">
        <f>IFERROR(IF($S5=0,"",IF($S5=2,DATE(YEAR(C5),MONTH(C5)+6,DAY(C5)),IF($S5=1,C5,""))),"")</f>
        <v>43497</v>
      </c>
      <c r="G5" s="39">
        <f>IFERROR(IF($S5=0,"",IF($S5=2,DATE(YEAR(D5),MONTH(D5)+6,DAY(D5)),IF($S5=1,D5,""))),"")</f>
        <v>43556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3479.15654460647</v>
      </c>
      <c r="M5" s="30">
        <f>L5*H5</f>
        <v>3479.15654460647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370182.2563461284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7000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13500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43191</v>
      </c>
      <c r="C6" s="39">
        <f>IFERROR(DATE(YEAR(B6),MONTH(B6)+ROUND(T6/2,0),DAY(B6)),B6)</f>
        <v>43252</v>
      </c>
      <c r="D6" s="39">
        <f>IFERROR(DATE(YEAR(B6),MONTH(B6)+T6,DAY(B6)),"")</f>
        <v>43282</v>
      </c>
      <c r="E6" s="39">
        <f>IFERROR(IF($S6=0,"",IF($S6=2,DATE(YEAR(B6),MONTH(B6)+6,DAY(B6)),IF($S6=1,B6,""))),"")</f>
        <v>43374</v>
      </c>
      <c r="F6" s="39">
        <f>IFERROR(IF($S6=0,"",IF($S6=2,DATE(YEAR(C6),MONTH(C6)+6,DAY(C6)),IF($S6=1,C6,""))),"")</f>
        <v>43435</v>
      </c>
      <c r="G6" s="39">
        <f>IFERROR(IF($S6=0,"",IF($S6=2,DATE(YEAR(D6),MONTH(D6)+6,DAY(D6)),IF($S6=1,D6,""))),"")</f>
        <v>43466</v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5056.15387098665</v>
      </c>
      <c r="M6" s="30">
        <f>L6*H6</f>
        <v>10112.3077419733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35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672468.4648412244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1500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9000</v>
      </c>
      <c r="Z6" s="34">
        <f>IF(Inputs!I9=Parameters!$F$78,H6*INDEX(Parameters!$A$3:$AI$18,MATCH(Calculations!A6,Parameters!$A$3:$A$18,0),MATCH(Parameters!$Q$3,Parameters!$A$3:$AI$3,0)),0)</f>
        <v>12000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63000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</v>
      </c>
      <c r="E14" s="16">
        <f>Inputs!D19</f>
        <v>10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13557.14285714285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</v>
      </c>
      <c r="R14" s="63">
        <f>IFERROR(D14*INDEX(Parameters!$A$22:$P$29,MATCH(Calculations!$A14,Parameters!$A$22:$A$29,0),MATCH(Parameters!$M$22,Parameters!$A$22:$P$22,0)),"")</f>
        <v>256</v>
      </c>
      <c r="S14" s="63">
        <f>IFERROR(D14*INDEX(Parameters!$A$22:$P$29,MATCH(Calculations!$A14,Parameters!$A$22:$A$29,0),MATCH(Parameters!$N$22,Parameters!$A$22:$P$22,0)),"")</f>
        <v>2058.270676691729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7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16100</v>
      </c>
      <c r="Q15" s="64">
        <f>IFERROR(D15*INDEX(Parameters!$A$22:$P$29,MATCH(Calculations!$A15,Parameters!$A$22:$A$29,0),MATCH(Parameters!$L$22,Parameters!$A$22:$P$22,0))*IF(Inputs!I20="Always",1,IF(Inputs!I20="Sometimes",0.5,0))*365,"")</f>
        <v>6387.5</v>
      </c>
      <c r="R15" s="64">
        <f>IFERROR(D15*INDEX(Parameters!$A$22:$P$29,MATCH(Calculations!$A15,Parameters!$A$22:$A$29,0),MATCH(Parameters!$M$22,Parameters!$A$22:$P$22,0)),"")</f>
        <v>1400</v>
      </c>
      <c r="S15" s="64">
        <f>IFERROR(D15*INDEX(Parameters!$A$22:$P$29,MATCH(Calculations!$A15,Parameters!$A$22:$A$29,0),MATCH(Parameters!$N$22,Parameters!$A$22:$P$22,0)),"")</f>
        <v>2100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4875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620000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300000</v>
      </c>
      <c r="B24" s="46">
        <f>SUM(C24:D24)</f>
        <v>17216.48221343874</v>
      </c>
      <c r="C24" s="46">
        <f>IF(Inputs!B57&gt;0,(Inputs!A57-Inputs!B57)/(DATE(YEAR(Inputs!$B$76),MONTH(Inputs!$B$76),DAY(Inputs!$B$76))-DATE(YEAR(Inputs!C57),MONTH(Inputs!C57),DAY(Inputs!C57)))*30,0)</f>
        <v>11716.48221343874</v>
      </c>
      <c r="D24" s="46">
        <f>IF(Inputs!B57&gt;0,Inputs!A57*0.22/12,0)</f>
        <v>5500</v>
      </c>
      <c r="E24" s="46">
        <f>IFERROR(ROUNDUP(Inputs!B57/B24,0),0)</f>
        <v>6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43252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43252</v>
      </c>
      <c r="F33" t="s">
        <v>169</v>
      </c>
      <c r="G33" s="128">
        <f>IF(Inputs!B79="","",DATE(YEAR(Inputs!B79),MONTH(Inputs!B79),DAY(Inputs!B79)))</f>
        <v>43164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43282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43282</v>
      </c>
      <c r="F34" t="s">
        <v>170</v>
      </c>
      <c r="G34" s="128">
        <f>IF(Inputs!B80="","",DATE(YEAR(Inputs!B80),MONTH(Inputs!B80),DAY(Inputs!B80)))</f>
        <v>43252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43313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43313</v>
      </c>
      <c r="F35" t="s">
        <v>172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43344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43344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43374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43374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43405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43405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43435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43435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43466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43466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43497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43497</v>
      </c>
      <c r="F41" t="s">
        <v>236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43525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43525</v>
      </c>
      <c r="F42" t="s">
        <v>237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43556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43556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43586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43586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210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112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303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114</v>
      </c>
      <c r="B27" s="71" t="s">
        <v>303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303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100</v>
      </c>
      <c r="B41" s="191" t="s">
        <v>319</v>
      </c>
      <c r="C41" s="191" t="s">
        <v>92</v>
      </c>
    </row>
    <row r="42" spans="1:36">
      <c r="A42" t="s">
        <v>112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114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279</v>
      </c>
      <c r="E52" s="12" t="s">
        <v>279</v>
      </c>
      <c r="F52" s="12" t="s">
        <v>279</v>
      </c>
      <c r="G52" s="12" t="s">
        <v>321</v>
      </c>
      <c r="H52" s="12" t="s">
        <v>322</v>
      </c>
      <c r="I52" s="12" t="s">
        <v>136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238</v>
      </c>
      <c r="E53" s="10" t="s">
        <v>197</v>
      </c>
      <c r="F53" s="10" t="s">
        <v>257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319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319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319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319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319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319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319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175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234</v>
      </c>
      <c r="J76" s="11" t="s">
        <v>355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319</v>
      </c>
      <c r="F77" s="12" t="s">
        <v>319</v>
      </c>
      <c r="G77" s="12" t="s">
        <v>357</v>
      </c>
      <c r="H77" s="12" t="s">
        <v>322</v>
      </c>
      <c r="I77" s="12" t="s">
        <v>358</v>
      </c>
      <c r="J77" s="136" t="s">
        <v>359</v>
      </c>
      <c r="K77" s="12" t="s">
        <v>319</v>
      </c>
      <c r="AJ77" s="12"/>
    </row>
    <row r="78" spans="1:36">
      <c r="A78" t="s">
        <v>319</v>
      </c>
      <c r="B78" s="176">
        <v>5</v>
      </c>
      <c r="C78" s="134" t="s">
        <v>360</v>
      </c>
      <c r="D78" s="133"/>
      <c r="E78" s="12" t="s">
        <v>361</v>
      </c>
      <c r="F78" s="12" t="s">
        <v>93</v>
      </c>
      <c r="G78" s="12" t="s">
        <v>113</v>
      </c>
      <c r="H78" s="12" t="s">
        <v>136</v>
      </c>
      <c r="I78" s="12" t="s">
        <v>362</v>
      </c>
      <c r="J78" s="70" t="s">
        <v>363</v>
      </c>
      <c r="K78" s="12" t="s">
        <v>319</v>
      </c>
      <c r="AJ78" s="12"/>
    </row>
    <row r="79" spans="1:36">
      <c r="B79" s="176">
        <v>10</v>
      </c>
      <c r="C79" s="12" t="s">
        <v>128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175</v>
      </c>
      <c r="J79" s="70" t="s">
        <v>367</v>
      </c>
      <c r="K79" s="12" t="s">
        <v>319</v>
      </c>
      <c r="AJ79" s="12"/>
    </row>
    <row r="80" spans="1:36">
      <c r="B80" s="176">
        <v>20</v>
      </c>
      <c r="C80" s="12" t="s">
        <v>160</v>
      </c>
      <c r="D80" s="12">
        <f>D79+1</f>
        <v>2</v>
      </c>
      <c r="E80" s="12" t="s">
        <v>91</v>
      </c>
      <c r="F80" s="12" t="s">
        <v>368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98</v>
      </c>
      <c r="D82" s="12">
        <f>D81+1</f>
        <v>4</v>
      </c>
      <c r="J82" s="70"/>
    </row>
    <row r="83" spans="1:36">
      <c r="B83" s="176">
        <v>50</v>
      </c>
      <c r="C83" s="12" t="s">
        <v>96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163</v>
      </c>
      <c r="D87" s="12">
        <f>D86+1</f>
        <v>9</v>
      </c>
    </row>
    <row r="88" spans="1:36">
      <c r="B88" s="176">
        <v>99.99999999999999</v>
      </c>
      <c r="C88" s="12" t="s">
        <v>162</v>
      </c>
      <c r="D88" s="12">
        <f>D87+1</f>
        <v>10</v>
      </c>
    </row>
    <row r="89" spans="1:36">
      <c r="C89" s="12" t="s">
        <v>161</v>
      </c>
      <c r="D89" s="12">
        <f>D88+1</f>
        <v>11</v>
      </c>
    </row>
    <row r="90" spans="1:36">
      <c r="C90" s="12" t="s">
        <v>130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