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<sst xmlns="http://schemas.openxmlformats.org/spreadsheetml/2006/main" uniqueCount="373">
  <si>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</si>
  <si>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</si>
  <si>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</si>
  <si>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</si>
  <si>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</si>
  <si>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</si>
  <si>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</si>
  <si>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</si>
  <si>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</si>
  <si>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</si>
  <si>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</si>
  <si>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</si>
  <si>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</si>
  <si>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</si>
  <si>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</si>
  <si>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</si>
  <si>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</si>
  <si>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</si>
  <si>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</si>
  <si>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</si>
  <si>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</si>
  <si>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</si>
  <si>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</si>
  <si>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</si>
  <si>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</si>
  <si>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</si>
  <si>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</si>
  <si>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</si>
  <si>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</si>
  <si>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</si>
  <si>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</si>
  <si>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</si>
  <si>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</si>
  <si>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</si>
  <si>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</si>
  <si>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</si>
  <si>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</si>
  <si>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</si>
  <si>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</si>
  <si>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</si>
  <si>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</si>
  <si>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</si>
  <si>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</si>
  <si>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</si>
  <si>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</si>
  <si>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</si>
  <si>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</si>
  <si>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</si>
  <si>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</si>
  <si>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</si>
  <si>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</si>
  <si>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</si>
  <si>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</si>
  <si>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</si>
  <si>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</si>
  <si>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</si>
  <si>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</si>
  <si>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</si>
  <si>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</si>
  <si>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</si>
  <si>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</si>
  <si>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</si>
  <si>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</si>
  <si>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</si>
  <si>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</si>
  <si>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</si>
  <si>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</si>
  <si>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</si>
  <si>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</si>
  <si>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</si>
  <si>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</si>
  <si>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</si>
  <si>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</si>
  <si>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</si>
  <si>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</si>
  <si>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</si>
  <si>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</si>
  <si>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</si>
  <si>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</si>
  <si>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</si>
  <si>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</si>
  <si>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</si>
  <si>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</si>
  <si>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</si>
  <si>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</si>
  <si>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</si>
  <si>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</si>
  <si>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</si>
  <si>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</si>
  <si>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Tea</t>
  </si>
  <si>
    <t>Shop_certified variety</t>
  </si>
  <si>
    <t>Yes both manure and inorganic</t>
  </si>
  <si>
    <t>Yes</t>
  </si>
  <si>
    <t>No</t>
  </si>
  <si>
    <t>March</t>
  </si>
  <si>
    <t>Maize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</si>
  <si>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</si>
  <si>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</si>
  <si>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</si>
  <si>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</si>
  <si>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</si>
  <si>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</si>
  <si>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</si>
  <si>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</si>
  <si>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</si>
  <si>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</si>
  <si>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</si>
  <si>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</si>
  <si>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</si>
  <si>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</si>
  <si>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</si>
  <si>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</si>
  <si>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</si>
  <si>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</si>
  <si>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</si>
  <si>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</si>
  <si>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</si>
  <si>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</si>
  <si>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</si>
  <si>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</si>
  <si>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</si>
  <si>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</si>
  <si>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</si>
  <si>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</si>
  <si>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</si>
  <si>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</si>
  <si>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</si>
  <si>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</si>
  <si>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</si>
  <si>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</si>
  <si>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</si>
  <si>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</si>
  <si>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</si>
  <si>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</si>
  <si>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</si>
  <si>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</si>
  <si>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</si>
  <si>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</si>
  <si>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</si>
  <si>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</si>
  <si>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</si>
  <si>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</si>
  <si>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</si>
  <si>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</si>
  <si>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</si>
  <si>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10/11/2010</t>
  </si>
  <si>
    <t xml:space="preserve">KCB </t>
  </si>
  <si>
    <t xml:space="preserve">Delinquency in payment </t>
  </si>
  <si>
    <t>12/12/2017</t>
  </si>
  <si>
    <t xml:space="preserve">inventure </t>
  </si>
  <si>
    <t xml:space="preserve">Paid well </t>
  </si>
  <si>
    <t>2/19/2018</t>
  </si>
  <si>
    <t xml:space="preserve">Mshwari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</si>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</sst>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Tea,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0.3467605488984641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0.1132353218714024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430371.6733039564</v>
      </c>
    </row>
    <row r="18" spans="1:7">
      <c r="B18" s="1" t="s">
        <v>12</v>
      </c>
      <c r="C18" s="36">
        <f>MIN(Output!B6:M6)</f>
        <v>5937.799148448845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203412.2422248086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439466.6666666667</v>
      </c>
    </row>
    <row r="25" spans="1:7">
      <c r="B25" s="1" t="s">
        <v>18</v>
      </c>
      <c r="C25" s="36">
        <f>MAX(Inputs!A56:A60)</f>
        <v>1300000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5937.799148448845</v>
      </c>
      <c r="C6" s="51">
        <f>C30-C88</f>
        <v>21040.79914844884</v>
      </c>
      <c r="D6" s="51">
        <f>D30-D88</f>
        <v>18040.79914844884</v>
      </c>
      <c r="E6" s="51">
        <f>E30-E88</f>
        <v>21040.79914844884</v>
      </c>
      <c r="F6" s="51">
        <f>F30-F88</f>
        <v>34934.4395946593</v>
      </c>
      <c r="G6" s="51">
        <f>G30-G88</f>
        <v>24650.79914844884</v>
      </c>
      <c r="H6" s="51">
        <f>H30-H88</f>
        <v>16540.79914844884</v>
      </c>
      <c r="I6" s="51">
        <f>I30-I88</f>
        <v>21040.79914844884</v>
      </c>
      <c r="J6" s="51">
        <f>J30-J88</f>
        <v>18040.79914844884</v>
      </c>
      <c r="K6" s="51">
        <f>K30-K88</f>
        <v>21040.79914844884</v>
      </c>
      <c r="L6" s="51">
        <f>L30-L88</f>
        <v>203412.2422248086</v>
      </c>
      <c r="M6" s="51">
        <f>M30-M88</f>
        <v>24650.79914844884</v>
      </c>
      <c r="N6" s="51">
        <f>N30-N88</f>
        <v>5937.799148448845</v>
      </c>
      <c r="O6" s="51">
        <f>O30-O88</f>
        <v>21040.79914844884</v>
      </c>
      <c r="P6" s="51">
        <f>P30-P88</f>
        <v>18040.79914844884</v>
      </c>
      <c r="Q6" s="51">
        <f>Q30-Q88</f>
        <v>21040.79914844884</v>
      </c>
      <c r="R6" s="51">
        <f>R30-R88</f>
        <v>34934.4395946593</v>
      </c>
      <c r="S6" s="51">
        <f>S30-S88</f>
        <v>24650.79914844884</v>
      </c>
      <c r="T6" s="51">
        <f>T30-T88</f>
        <v>16540.79914844884</v>
      </c>
      <c r="U6" s="51">
        <f>U30-U88</f>
        <v>21040.79914844884</v>
      </c>
      <c r="V6" s="51">
        <f>V30-V88</f>
        <v>18040.79914844884</v>
      </c>
      <c r="W6" s="51">
        <f>W30-W88</f>
        <v>21040.79914844884</v>
      </c>
      <c r="X6" s="51">
        <f>X30-X88</f>
        <v>203412.2422248086</v>
      </c>
      <c r="Y6" s="51">
        <f>Y30-Y88</f>
        <v>24650.79914844884</v>
      </c>
      <c r="Z6" s="51">
        <f>SUMIF($B$13:$Y$13,"Yes",B6:Y6)</f>
        <v>860743.3466079129</v>
      </c>
      <c r="AA6" s="51">
        <f>AA30-AA88</f>
        <v>430371.6733039564</v>
      </c>
      <c r="AB6" s="51">
        <f>AB30-AB88</f>
        <v>860743.346607914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14090</v>
      </c>
      <c r="I7" s="80">
        <f>IF(ISERROR(VLOOKUP(MONTH(I5),Inputs!$D$66:$D$71,1,0)),"",INDEX(Inputs!$B$66:$B$71,MATCH(MONTH(Output!I5),Inputs!$D$66:$D$71,0))-INDEX(Inputs!$C$66:$C$71,MATCH(MONTH(Output!I5),Inputs!$D$66:$D$71,0)))</f>
        <v>22572</v>
      </c>
      <c r="J7" s="80">
        <f>IF(ISERROR(VLOOKUP(MONTH(J5),Inputs!$D$66:$D$71,1,0)),"",INDEX(Inputs!$B$66:$B$71,MATCH(MONTH(Output!J5),Inputs!$D$66:$D$71,0))-INDEX(Inputs!$C$66:$C$71,MATCH(MONTH(Output!J5),Inputs!$D$66:$D$71,0)))</f>
        <v>26435</v>
      </c>
      <c r="K7" s="80">
        <f>IF(ISERROR(VLOOKUP(MONTH(K5),Inputs!$D$66:$D$71,1,0)),"",INDEX(Inputs!$B$66:$B$71,MATCH(MONTH(Output!K5),Inputs!$D$66:$D$71,0))-INDEX(Inputs!$C$66:$C$71,MATCH(MONTH(Output!K5),Inputs!$D$66:$D$71,0)))</f>
        <v>19001</v>
      </c>
      <c r="L7" s="80">
        <f>IF(ISERROR(VLOOKUP(MONTH(L5),Inputs!$D$66:$D$71,1,0)),"",INDEX(Inputs!$B$66:$B$71,MATCH(MONTH(Output!L5),Inputs!$D$66:$D$71,0))-INDEX(Inputs!$C$66:$C$71,MATCH(MONTH(Output!L5),Inputs!$D$66:$D$71,0)))</f>
        <v>29725</v>
      </c>
      <c r="M7" s="80">
        <f>IF(ISERROR(VLOOKUP(MONTH(M5),Inputs!$D$66:$D$71,1,0)),"",INDEX(Inputs!$B$66:$B$71,MATCH(MONTH(Output!M5),Inputs!$D$66:$D$71,0))-INDEX(Inputs!$C$66:$C$71,MATCH(MONTH(Output!M5),Inputs!$D$66:$D$71,0)))</f>
        <v>24407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14090</v>
      </c>
      <c r="U7" s="80">
        <f>IF(ISERROR(VLOOKUP(MONTH(U5),Inputs!$D$66:$D$71,1,0)),"",INDEX(Inputs!$B$66:$B$71,MATCH(MONTH(Output!U5),Inputs!$D$66:$D$71,0))-INDEX(Inputs!$C$66:$C$71,MATCH(MONTH(Output!U5),Inputs!$D$66:$D$71,0)))</f>
        <v>22572</v>
      </c>
      <c r="V7" s="80">
        <f>IF(ISERROR(VLOOKUP(MONTH(V5),Inputs!$D$66:$D$71,1,0)),"",INDEX(Inputs!$B$66:$B$71,MATCH(MONTH(Output!V5),Inputs!$D$66:$D$71,0))-INDEX(Inputs!$C$66:$C$71,MATCH(MONTH(Output!V5),Inputs!$D$66:$D$71,0)))</f>
        <v>26435</v>
      </c>
      <c r="W7" s="80">
        <f>IF(ISERROR(VLOOKUP(MONTH(W5),Inputs!$D$66:$D$71,1,0)),"",INDEX(Inputs!$B$66:$B$71,MATCH(MONTH(Output!W5),Inputs!$D$66:$D$71,0))-INDEX(Inputs!$C$66:$C$71,MATCH(MONTH(Output!W5),Inputs!$D$66:$D$71,0)))</f>
        <v>19001</v>
      </c>
      <c r="X7" s="80">
        <f>IF(ISERROR(VLOOKUP(MONTH(X5),Inputs!$D$66:$D$71,1,0)),"",INDEX(Inputs!$B$66:$B$71,MATCH(MONTH(Output!X5),Inputs!$D$66:$D$71,0))-INDEX(Inputs!$C$66:$C$71,MATCH(MONTH(Output!X5),Inputs!$D$66:$D$71,0)))</f>
        <v>29725</v>
      </c>
      <c r="Y7" s="80">
        <f>IF(ISERROR(VLOOKUP(MONTH(Y5),Inputs!$D$66:$D$71,1,0)),"",INDEX(Inputs!$B$66:$B$71,MATCH(MONTH(Output!Y5),Inputs!$D$66:$D$71,0))-INDEX(Inputs!$C$66:$C$71,MATCH(MONTH(Output!Y5),Inputs!$D$66:$D$71,0)))</f>
        <v>24407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305937.7991484489</v>
      </c>
      <c r="C11" s="80">
        <f>C6+C9-C10</f>
        <v>3540.799148448845</v>
      </c>
      <c r="D11" s="80">
        <f>D6+D9-D10</f>
        <v>540.7991484488448</v>
      </c>
      <c r="E11" s="80">
        <f>E6+E9-E10</f>
        <v>3540.799148448845</v>
      </c>
      <c r="F11" s="80">
        <f>F6+F9-F10</f>
        <v>17434.4395946593</v>
      </c>
      <c r="G11" s="80">
        <f>G6+G9-G10</f>
        <v>7150.799148448838</v>
      </c>
      <c r="H11" s="80">
        <f>H6+H9-H10</f>
        <v>-959.2008515511552</v>
      </c>
      <c r="I11" s="80">
        <f>I6+I9-I10</f>
        <v>3540.799148448845</v>
      </c>
      <c r="J11" s="80">
        <f>J6+J9-J10</f>
        <v>540.7991484488448</v>
      </c>
      <c r="K11" s="80">
        <f>K6+K9-K10</f>
        <v>3540.799148448845</v>
      </c>
      <c r="L11" s="80">
        <f>L6+L9-L10</f>
        <v>185912.2422248086</v>
      </c>
      <c r="M11" s="80">
        <f>M6+M9-M10</f>
        <v>7150.799148448838</v>
      </c>
      <c r="N11" s="80">
        <f>N6+N9-N10</f>
        <v>-11562.20085155116</v>
      </c>
      <c r="O11" s="80">
        <f>O6+O9-O10</f>
        <v>3540.799148448845</v>
      </c>
      <c r="P11" s="80">
        <f>P6+P9-P10</f>
        <v>540.7991484488448</v>
      </c>
      <c r="Q11" s="80">
        <f>Q6+Q9-Q10</f>
        <v>3540.799148448845</v>
      </c>
      <c r="R11" s="80">
        <f>R6+R9-R10</f>
        <v>17434.4395946593</v>
      </c>
      <c r="S11" s="80">
        <f>S6+S9-S10</f>
        <v>7150.799148448838</v>
      </c>
      <c r="T11" s="80">
        <f>T6+T9-T10</f>
        <v>-959.2008515511552</v>
      </c>
      <c r="U11" s="80">
        <f>U6+U9-U10</f>
        <v>3540.799148448845</v>
      </c>
      <c r="V11" s="80">
        <f>V6+V9-V10</f>
        <v>540.7991484488448</v>
      </c>
      <c r="W11" s="80">
        <f>W6+W9-W10</f>
        <v>3540.799148448845</v>
      </c>
      <c r="X11" s="80">
        <f>X6+X9-X10</f>
        <v>185912.2422248086</v>
      </c>
      <c r="Y11" s="80">
        <f>Y6+Y9-Y10</f>
        <v>7150.799148448838</v>
      </c>
      <c r="Z11" s="85">
        <f>SUMIF($B$13:$Y$13,"Yes",B11:Y11)</f>
        <v>758243.346607913</v>
      </c>
      <c r="AA11" s="80">
        <f>SUM(B11:M11)</f>
        <v>537871.6733039565</v>
      </c>
      <c r="AB11" s="46">
        <f>SUM(B11:Y11)</f>
        <v>758243.346607913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0.05352032240382271</v>
      </c>
      <c r="D12" s="82">
        <f>IF(D13="Yes",IF(SUM($B$10:D10)/(SUM($B$6:D6)+SUM($B$9:D9))&lt;0,999.99,SUM($B$10:D10)/(SUM($B$6:D6)+SUM($B$9:D9))),"")</f>
        <v>0.1014435717503224</v>
      </c>
      <c r="E12" s="82">
        <f>IF(E13="Yes",IF(SUM($B$10:E10)/(SUM($B$6:E6)+SUM($B$9:E9))&lt;0,999.99,SUM($B$10:E10)/(SUM($B$6:E6)+SUM($B$9:E9))),"")</f>
        <v>0.1434190345973547</v>
      </c>
      <c r="F12" s="82">
        <f>IF(F13="Yes",IF(SUM($B$10:F10)/(SUM($B$6:F6)+SUM($B$9:F9))&lt;0,999.99,SUM($B$10:F10)/(SUM($B$6:F6)+SUM($B$9:F9))),"")</f>
        <v>0.1745659260317443</v>
      </c>
      <c r="G12" s="82">
        <f>IF(G13="Yes",IF(SUM($B$10:G10)/(SUM($B$6:G6)+SUM($B$9:G9))&lt;0,999.99,SUM($B$10:G10)/(SUM($B$6:G6)+SUM($B$9:G9))),"")</f>
        <v>0.2055701594232831</v>
      </c>
      <c r="H12" s="82">
        <f>IF(H13="Yes",IF(SUM($B$10:H10)/(SUM($B$6:H6)+SUM($B$9:H9))&lt;0,999.99,SUM($B$10:H10)/(SUM($B$6:H6)+SUM($B$9:H9))),"")</f>
        <v>0.2374565099752742</v>
      </c>
      <c r="I12" s="82">
        <f>IF(I13="Yes",IF(SUM($B$10:I10)/(SUM($B$6:I6)+SUM($B$9:I9))&lt;0,999.99,SUM($B$10:I10)/(SUM($B$6:I6)+SUM($B$9:I9))),"")</f>
        <v>0.2644491601430174</v>
      </c>
      <c r="J12" s="82">
        <f>IF(J13="Yes",IF(SUM($B$10:J10)/(SUM($B$6:J6)+SUM($B$9:J9))&lt;0,999.99,SUM($B$10:J10)/(SUM($B$6:J6)+SUM($B$9:J9))),"")</f>
        <v>0.2908983116337698</v>
      </c>
      <c r="K12" s="82">
        <f>IF(K13="Yes",IF(SUM($B$10:K10)/(SUM($B$6:K6)+SUM($B$9:K9))&lt;0,999.99,SUM($B$10:K10)/(SUM($B$6:K6)+SUM($B$9:K9))),"")</f>
        <v>0.3135522465433752</v>
      </c>
      <c r="L12" s="82">
        <f>IF(L13="Yes",IF(SUM($B$10:L10)/(SUM($B$6:L6)+SUM($B$9:L9))&lt;0,999.99,SUM($B$10:L10)/(SUM($B$6:L6)+SUM($B$9:L9))),"")</f>
        <v>0.2479733934601434</v>
      </c>
      <c r="M12" s="82">
        <f>IF(M13="Yes",IF(SUM($B$10:M10)/(SUM($B$6:M6)+SUM($B$9:M9))&lt;0,999.99,SUM($B$10:M10)/(SUM($B$6:M6)+SUM($B$9:M9))),"")</f>
        <v>0.2635644385401676</v>
      </c>
      <c r="N12" s="82">
        <f>IF(N13="Yes",IF(SUM($B$10:N10)/(SUM($B$6:N6)+SUM($B$9:N9))&lt;0,999.99,SUM($B$10:N10)/(SUM($B$6:N6)+SUM($B$9:N9))),"")</f>
        <v>0.2852061637894714</v>
      </c>
      <c r="O12" s="82">
        <f>IF(O13="Yes",IF(SUM($B$10:O10)/(SUM($B$6:O6)+SUM($B$9:O9))&lt;0,999.99,SUM($B$10:O10)/(SUM($B$6:O6)+SUM($B$9:O9))),"")</f>
        <v>0.3003894083501421</v>
      </c>
      <c r="P12" s="82">
        <f>IF(P13="Yes",IF(SUM($B$10:P10)/(SUM($B$6:P6)+SUM($B$9:P9))&lt;0,999.99,SUM($B$10:P10)/(SUM($B$6:P6)+SUM($B$9:P9))),"")</f>
        <v>0.3159695916581075</v>
      </c>
      <c r="Q12" s="82">
        <f>IF(Q13="Yes",IF(SUM($B$10:Q10)/(SUM($B$6:Q6)+SUM($B$9:Q9))&lt;0,999.99,SUM($B$10:Q10)/(SUM($B$6:Q6)+SUM($B$9:Q9))),"")</f>
        <v>0.3295950475132298</v>
      </c>
      <c r="R12" s="82">
        <f>IF(R13="Yes",IF(SUM($B$10:R10)/(SUM($B$6:R6)+SUM($B$9:R9))&lt;0,999.99,SUM($B$10:R10)/(SUM($B$6:R6)+SUM($B$9:R9))),"")</f>
        <v>0.3367949805073932</v>
      </c>
      <c r="S12" s="82">
        <f>IF(S13="Yes",IF(SUM($B$10:S10)/(SUM($B$6:S6)+SUM($B$9:S9))&lt;0,999.99,SUM($B$10:S10)/(SUM($B$6:S6)+SUM($B$9:S9))),"")</f>
        <v>0.3475397827881679</v>
      </c>
      <c r="T12" s="82">
        <f>IF(T13="Yes",IF(SUM($B$10:T10)/(SUM($B$6:T6)+SUM($B$9:T9))&lt;0,999.99,SUM($B$10:T10)/(SUM($B$6:T6)+SUM($B$9:T9))),"")</f>
        <v>0.3610075585677474</v>
      </c>
      <c r="U12" s="82">
        <f>IF(U13="Yes",IF(SUM($B$10:U10)/(SUM($B$6:U6)+SUM($B$9:U9))&lt;0,999.99,SUM($B$10:U10)/(SUM($B$6:U6)+SUM($B$9:U9))),"")</f>
        <v>0.3720909591951321</v>
      </c>
      <c r="V12" s="82">
        <f>IF(V13="Yes",IF(SUM($B$10:V10)/(SUM($B$6:V6)+SUM($B$9:V9))&lt;0,999.99,SUM($B$10:V10)/(SUM($B$6:V6)+SUM($B$9:V9))),"")</f>
        <v>0.383923686570581</v>
      </c>
      <c r="W12" s="82">
        <f>IF(W13="Yes",IF(SUM($B$10:W10)/(SUM($B$6:W6)+SUM($B$9:W9))&lt;0,999.99,SUM($B$10:W10)/(SUM($B$6:W6)+SUM($B$9:W9))),"")</f>
        <v>0.3940256891213541</v>
      </c>
      <c r="X12" s="82">
        <f>IF(X13="Yes",IF(SUM($B$10:X10)/(SUM($B$6:X6)+SUM($B$9:X9))&lt;0,999.99,SUM($B$10:X10)/(SUM($B$6:X6)+SUM($B$9:X9))),"")</f>
        <v>0.3388808428159651</v>
      </c>
      <c r="Y12" s="82">
        <f>IF(Y13="Yes",IF(SUM($B$10:Y10)/(SUM($B$6:Y6)+SUM($B$9:Y9))&lt;0,999.99,SUM($B$10:Y10)/(SUM($B$6:Y6)+SUM($B$9:Y9))),"")</f>
        <v>0.3467605488984641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Tea</v>
      </c>
      <c r="B18" s="36">
        <f>N18</f>
        <v>6142.419887557527</v>
      </c>
      <c r="C18" s="36">
        <f>O18</f>
        <v>6142.419887557527</v>
      </c>
      <c r="D18" s="36">
        <f>P18</f>
        <v>6142.419887557527</v>
      </c>
      <c r="E18" s="36">
        <f>Q18</f>
        <v>6142.419887557527</v>
      </c>
      <c r="F18" s="36">
        <f>R18</f>
        <v>6142.419887557527</v>
      </c>
      <c r="G18" s="36">
        <f>S18</f>
        <v>6142.419887557527</v>
      </c>
      <c r="H18" s="36">
        <f>T18</f>
        <v>6142.419887557527</v>
      </c>
      <c r="I18" s="36">
        <f>U18</f>
        <v>6142.419887557527</v>
      </c>
      <c r="J18" s="36">
        <f>V18</f>
        <v>6142.419887557527</v>
      </c>
      <c r="K18" s="36">
        <f>W18</f>
        <v>6142.419887557527</v>
      </c>
      <c r="L18" s="36">
        <f>X18</f>
        <v>174620.2225177068</v>
      </c>
      <c r="M18" s="36">
        <f>Y18</f>
        <v>6142.419887557527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6142.419887557527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6142.419887557527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6142.419887557527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6142.419887557527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6142.419887557527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6142.419887557527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6142.419887557527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6142.419887557527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6142.419887557527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6142.419887557527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174620.2225177068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6142.419887557527</v>
      </c>
      <c r="Z18" s="36">
        <f>SUMIF($B$13:$Y$13,"Yes",B18:Y18)</f>
        <v>484373.6825616792</v>
      </c>
      <c r="AA18" s="36">
        <f>SUM(B18:M18)</f>
        <v>242186.8412808396</v>
      </c>
      <c r="AB18" s="36">
        <f>SUM(B18:Y18)</f>
        <v>484373.6825616792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13893.64044621045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13893.64044621045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13893.64044621045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13893.64044621045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55574.5617848418</v>
      </c>
      <c r="AA20" s="36">
        <f>SUM(B20:M20)</f>
        <v>27787.2808924209</v>
      </c>
      <c r="AB20" s="36">
        <f>SUM(B20:Y20)</f>
        <v>55574.5617848418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9199.999999999998</v>
      </c>
      <c r="C25" s="36">
        <f>IFERROR(Calculations!$P15/12,"")</f>
        <v>9199.999999999998</v>
      </c>
      <c r="D25" s="36">
        <f>IFERROR(Calculations!$P15/12,"")</f>
        <v>9199.999999999998</v>
      </c>
      <c r="E25" s="36">
        <f>IFERROR(Calculations!$P15/12,"")</f>
        <v>9199.999999999998</v>
      </c>
      <c r="F25" s="36">
        <f>IFERROR(Calculations!$P15/12,"")</f>
        <v>9199.999999999998</v>
      </c>
      <c r="G25" s="36">
        <f>IFERROR(Calculations!$P15/12,"")</f>
        <v>9199.999999999998</v>
      </c>
      <c r="H25" s="36">
        <f>IFERROR(Calculations!$P15/12,"")</f>
        <v>9199.999999999998</v>
      </c>
      <c r="I25" s="36">
        <f>IFERROR(Calculations!$P15/12,"")</f>
        <v>9199.999999999998</v>
      </c>
      <c r="J25" s="36">
        <f>IFERROR(Calculations!$P15/12,"")</f>
        <v>9199.999999999998</v>
      </c>
      <c r="K25" s="36">
        <f>IFERROR(Calculations!$P15/12,"")</f>
        <v>9199.999999999998</v>
      </c>
      <c r="L25" s="36">
        <f>IFERROR(Calculations!$P15/12,"")</f>
        <v>9199.999999999998</v>
      </c>
      <c r="M25" s="36">
        <f>IFERROR(Calculations!$P15/12,"")</f>
        <v>9199.999999999998</v>
      </c>
      <c r="N25" s="36">
        <f>IFERROR(Calculations!$P15/12,"")</f>
        <v>9199.999999999998</v>
      </c>
      <c r="O25" s="36">
        <f>IFERROR(Calculations!$P15/12,"")</f>
        <v>9199.999999999998</v>
      </c>
      <c r="P25" s="36">
        <f>IFERROR(Calculations!$P15/12,"")</f>
        <v>9199.999999999998</v>
      </c>
      <c r="Q25" s="36">
        <f>IFERROR(Calculations!$P15/12,"")</f>
        <v>9199.999999999998</v>
      </c>
      <c r="R25" s="36">
        <f>IFERROR(Calculations!$P15/12,"")</f>
        <v>9199.999999999998</v>
      </c>
      <c r="S25" s="36">
        <f>IFERROR(Calculations!$P15/12,"")</f>
        <v>9199.999999999998</v>
      </c>
      <c r="T25" s="36">
        <f>IFERROR(Calculations!$P15/12,"")</f>
        <v>9199.999999999998</v>
      </c>
      <c r="U25" s="36">
        <f>IFERROR(Calculations!$P15/12,"")</f>
        <v>9199.999999999998</v>
      </c>
      <c r="V25" s="36">
        <f>IFERROR(Calculations!$P15/12,"")</f>
        <v>9199.999999999998</v>
      </c>
      <c r="W25" s="36">
        <f>IFERROR(Calculations!$P15/12,"")</f>
        <v>9199.999999999998</v>
      </c>
      <c r="X25" s="36">
        <f>IFERROR(Calculations!$P15/12,"")</f>
        <v>9199.999999999998</v>
      </c>
      <c r="Y25" s="36">
        <f>IFERROR(Calculations!$P15/12,"")</f>
        <v>9199.999999999998</v>
      </c>
      <c r="Z25" s="36">
        <f>SUMIF($B$13:$Y$13,"Yes",B25:Y25)</f>
        <v>220800</v>
      </c>
      <c r="AA25" s="36">
        <f>SUM(B25:M25)</f>
        <v>110400</v>
      </c>
      <c r="AB25" s="46">
        <f>SUM(B25:Y25)</f>
        <v>220800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960000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87279.91988755752</v>
      </c>
      <c r="C30" s="19">
        <f>SUM(C18:C29)</f>
        <v>87279.91988755752</v>
      </c>
      <c r="D30" s="19">
        <f>SUM(D18:D29)</f>
        <v>87279.91988755752</v>
      </c>
      <c r="E30" s="19">
        <f>SUM(E18:E29)</f>
        <v>87279.91988755752</v>
      </c>
      <c r="F30" s="19">
        <f>SUM(F18:F29)</f>
        <v>101173.560333768</v>
      </c>
      <c r="G30" s="19">
        <f>SUM(G18:G29)</f>
        <v>87279.91988755752</v>
      </c>
      <c r="H30" s="19">
        <f>SUM(H18:H29)</f>
        <v>87279.91988755752</v>
      </c>
      <c r="I30" s="19">
        <f>SUM(I18:I29)</f>
        <v>87279.91988755752</v>
      </c>
      <c r="J30" s="19">
        <f>SUM(J18:J29)</f>
        <v>87279.91988755752</v>
      </c>
      <c r="K30" s="19">
        <f>SUM(K18:K29)</f>
        <v>87279.91988755752</v>
      </c>
      <c r="L30" s="19">
        <f>SUM(L18:L29)</f>
        <v>269651.3629639173</v>
      </c>
      <c r="M30" s="19">
        <f>SUM(M18:M29)</f>
        <v>87279.91988755752</v>
      </c>
      <c r="N30" s="19">
        <f>SUM(N18:N29)</f>
        <v>87279.91988755752</v>
      </c>
      <c r="O30" s="19">
        <f>SUM(O18:O29)</f>
        <v>87279.91988755752</v>
      </c>
      <c r="P30" s="19">
        <f>SUM(P18:P29)</f>
        <v>87279.91988755752</v>
      </c>
      <c r="Q30" s="19">
        <f>SUM(Q18:Q29)</f>
        <v>87279.91988755752</v>
      </c>
      <c r="R30" s="19">
        <f>SUM(R18:R29)</f>
        <v>101173.560333768</v>
      </c>
      <c r="S30" s="19">
        <f>SUM(S18:S29)</f>
        <v>87279.91988755752</v>
      </c>
      <c r="T30" s="19">
        <f>SUM(T18:T29)</f>
        <v>87279.91988755752</v>
      </c>
      <c r="U30" s="19">
        <f>SUM(U18:U29)</f>
        <v>87279.91988755752</v>
      </c>
      <c r="V30" s="19">
        <f>SUM(V18:V29)</f>
        <v>87279.91988755752</v>
      </c>
      <c r="W30" s="19">
        <f>SUM(W18:W29)</f>
        <v>87279.91988755752</v>
      </c>
      <c r="X30" s="19">
        <f>SUM(X18:X29)</f>
        <v>269651.3629639173</v>
      </c>
      <c r="Y30" s="19">
        <f>SUM(Y18:Y29)</f>
        <v>87279.91988755752</v>
      </c>
      <c r="Z30" s="19">
        <f>SUMIF($B$13:$Y$13,"Yes",B30:Y30)</f>
        <v>2487248.244346522</v>
      </c>
      <c r="AA30" s="19">
        <f>SUM(B30:M30)</f>
        <v>1243624.12217326</v>
      </c>
      <c r="AB30" s="19">
        <f>SUM(B30:Y30)</f>
        <v>2487248.244346522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5333.333333333333</v>
      </c>
      <c r="C36" s="36">
        <f>O36</f>
        <v>1333.333333333333</v>
      </c>
      <c r="D36" s="36">
        <f>P36</f>
        <v>1333.333333333333</v>
      </c>
      <c r="E36" s="36">
        <f>Q36</f>
        <v>1333.333333333333</v>
      </c>
      <c r="F36" s="36">
        <f>R36</f>
        <v>1333.333333333333</v>
      </c>
      <c r="G36" s="36">
        <f>S36</f>
        <v>1333.333333333333</v>
      </c>
      <c r="H36" s="36">
        <f>T36</f>
        <v>3333.333333333333</v>
      </c>
      <c r="I36" s="36">
        <f>U36</f>
        <v>1333.333333333333</v>
      </c>
      <c r="J36" s="36">
        <f>V36</f>
        <v>1333.333333333333</v>
      </c>
      <c r="K36" s="36">
        <f>W36</f>
        <v>1333.333333333333</v>
      </c>
      <c r="L36" s="36">
        <f>X36</f>
        <v>1333.333333333333</v>
      </c>
      <c r="M36" s="36">
        <f>Y36</f>
        <v>1333.333333333333</v>
      </c>
      <c r="N36" s="36">
        <f>SUM(N37:N41)</f>
        <v>5333.333333333333</v>
      </c>
      <c r="O36" s="36">
        <f>SUM(O37:O41)</f>
        <v>1333.333333333333</v>
      </c>
      <c r="P36" s="36">
        <f>SUM(P37:P41)</f>
        <v>1333.333333333333</v>
      </c>
      <c r="Q36" s="36">
        <f>SUM(Q37:Q41)</f>
        <v>1333.333333333333</v>
      </c>
      <c r="R36" s="36">
        <f>SUM(R37:R41)</f>
        <v>1333.333333333333</v>
      </c>
      <c r="S36" s="36">
        <f>SUM(S37:S41)</f>
        <v>1333.333333333333</v>
      </c>
      <c r="T36" s="36">
        <f>SUM(T37:T41)</f>
        <v>3333.333333333333</v>
      </c>
      <c r="U36" s="36">
        <f>SUM(U37:U41)</f>
        <v>1333.333333333333</v>
      </c>
      <c r="V36" s="36">
        <f>SUM(V37:V41)</f>
        <v>1333.333333333333</v>
      </c>
      <c r="W36" s="36">
        <f>SUM(W37:W41)</f>
        <v>1333.333333333333</v>
      </c>
      <c r="X36" s="36">
        <f>SUM(X37:X41)</f>
        <v>1333.333333333333</v>
      </c>
      <c r="Y36" s="36">
        <f>SUM(Y37:Y41)</f>
        <v>1333.333333333333</v>
      </c>
      <c r="Z36" s="36">
        <f>SUMIF($B$13:$Y$13,"Yes",B36:Y36)</f>
        <v>44000</v>
      </c>
      <c r="AA36" s="36">
        <f>SUM(B36:M36)</f>
        <v>21999.99999999999</v>
      </c>
      <c r="AB36" s="36">
        <f>SUM(B36:Y36)</f>
        <v>44000</v>
      </c>
      <c r="AC36" s="73"/>
    </row>
    <row r="37" spans="1:30" hidden="true" outlineLevel="1">
      <c r="A37" s="181" t="str">
        <f>Calculations!$A$4</f>
        <v>Tea</v>
      </c>
      <c r="B37" s="36">
        <f>N37</f>
        <v>1333.333333333333</v>
      </c>
      <c r="C37" s="36">
        <f>O37</f>
        <v>1333.333333333333</v>
      </c>
      <c r="D37" s="36">
        <f>P37</f>
        <v>1333.333333333333</v>
      </c>
      <c r="E37" s="36">
        <f>Q37</f>
        <v>1333.333333333333</v>
      </c>
      <c r="F37" s="36">
        <f>R37</f>
        <v>1333.333333333333</v>
      </c>
      <c r="G37" s="36">
        <f>S37</f>
        <v>1333.333333333333</v>
      </c>
      <c r="H37" s="36">
        <f>T37</f>
        <v>1333.333333333333</v>
      </c>
      <c r="I37" s="36">
        <f>U37</f>
        <v>1333.333333333333</v>
      </c>
      <c r="J37" s="36">
        <f>V37</f>
        <v>1333.333333333333</v>
      </c>
      <c r="K37" s="36">
        <f>W37</f>
        <v>1333.333333333333</v>
      </c>
      <c r="L37" s="36">
        <f>X37</f>
        <v>1333.333333333333</v>
      </c>
      <c r="M37" s="36">
        <f>Y37</f>
        <v>1333.333333333333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1333.333333333333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1333.333333333333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1333.333333333333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1333.333333333333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1333.333333333333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1333.333333333333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1333.333333333333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1333.333333333333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1333.333333333333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1333.333333333333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1333.333333333333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1333.333333333333</v>
      </c>
      <c r="Z37" s="36">
        <f>SUMIF($B$13:$Y$13,"Yes",B37:Y37)</f>
        <v>31999.99999999999</v>
      </c>
      <c r="AA37" s="36">
        <f>SUM(B37:M37)</f>
        <v>16000</v>
      </c>
      <c r="AB37" s="36">
        <f>SUM(B37:Y37)</f>
        <v>31999.99999999999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Beans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2000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2000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2803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2803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10606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Tea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 t="str">
        <f>Calculations!$A$6</f>
        <v>Beans</v>
      </c>
      <c r="B45" s="36">
        <f>N45</f>
        <v>2500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2500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2500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2500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10000</v>
      </c>
      <c r="AA45" s="36">
        <f>SUM(B45:M45)</f>
        <v>5000</v>
      </c>
      <c r="AB45" s="36">
        <f>SUM(B45:Y45)</f>
        <v>10000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8300</v>
      </c>
      <c r="C48" s="36">
        <f>O48</f>
        <v>0</v>
      </c>
      <c r="D48" s="36">
        <f>P48</f>
        <v>3000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8300</v>
      </c>
      <c r="O48" s="46">
        <f>SUM(O49:O53)</f>
        <v>0</v>
      </c>
      <c r="P48" s="46">
        <f>SUM(P49:P53)</f>
        <v>3000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28600</v>
      </c>
      <c r="AA48" s="46">
        <f>SUM(B48:M48)</f>
        <v>14300</v>
      </c>
      <c r="AB48" s="46">
        <f>SUM(B48:Y48)</f>
        <v>28600</v>
      </c>
    </row>
    <row r="49" spans="1:30" hidden="true" outlineLevel="1">
      <c r="A49" s="181" t="str">
        <f>Calculations!$A$4</f>
        <v>Tea</v>
      </c>
      <c r="B49" s="36">
        <f>N49</f>
        <v>8000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8000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16000</v>
      </c>
      <c r="AA49" s="46">
        <f>SUM(B49:M49)</f>
        <v>8000</v>
      </c>
      <c r="AB49" s="46">
        <f>SUM(B49:Y49)</f>
        <v>16000</v>
      </c>
    </row>
    <row r="50" spans="1:30" hidden="true" outlineLevel="1">
      <c r="A50" s="181" t="str">
        <f>Calculations!$A$5</f>
        <v>Maize</v>
      </c>
      <c r="B50" s="36">
        <f>N50</f>
        <v>300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300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3000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3000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3000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3000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12000</v>
      </c>
      <c r="AA51" s="46">
        <f>SUM(B51:M51)</f>
        <v>6000</v>
      </c>
      <c r="AB51" s="46">
        <f>SUM(B51:Y51)</f>
        <v>12000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Tea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Tea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32490</v>
      </c>
      <c r="C66" s="36">
        <f>O66</f>
        <v>32490</v>
      </c>
      <c r="D66" s="36">
        <f>P66</f>
        <v>32490</v>
      </c>
      <c r="E66" s="36">
        <f>Q66</f>
        <v>32490</v>
      </c>
      <c r="F66" s="36">
        <f>R66</f>
        <v>32490</v>
      </c>
      <c r="G66" s="36">
        <f>S66</f>
        <v>28880</v>
      </c>
      <c r="H66" s="36">
        <f>T66</f>
        <v>32490</v>
      </c>
      <c r="I66" s="36">
        <f>U66</f>
        <v>32490</v>
      </c>
      <c r="J66" s="36">
        <f>V66</f>
        <v>32490</v>
      </c>
      <c r="K66" s="36">
        <f>W66</f>
        <v>32490</v>
      </c>
      <c r="L66" s="36">
        <f>X66</f>
        <v>32490</v>
      </c>
      <c r="M66" s="36">
        <f>Y66</f>
        <v>28880</v>
      </c>
      <c r="N66" s="46">
        <f>SUM(N67:N71)</f>
        <v>32490</v>
      </c>
      <c r="O66" s="46">
        <f>SUM(O67:O71)</f>
        <v>32490</v>
      </c>
      <c r="P66" s="46">
        <f>SUM(P67:P71)</f>
        <v>32490</v>
      </c>
      <c r="Q66" s="46">
        <f>SUM(Q67:Q71)</f>
        <v>32490</v>
      </c>
      <c r="R66" s="46">
        <f>SUM(R67:R71)</f>
        <v>32490</v>
      </c>
      <c r="S66" s="46">
        <f>SUM(S67:S71)</f>
        <v>28880</v>
      </c>
      <c r="T66" s="46">
        <f>SUM(T67:T71)</f>
        <v>32490</v>
      </c>
      <c r="U66" s="46">
        <f>SUM(U67:U71)</f>
        <v>32490</v>
      </c>
      <c r="V66" s="46">
        <f>SUM(V67:V71)</f>
        <v>32490</v>
      </c>
      <c r="W66" s="46">
        <f>SUM(W67:W71)</f>
        <v>32490</v>
      </c>
      <c r="X66" s="46">
        <f>SUM(X67:X71)</f>
        <v>32490</v>
      </c>
      <c r="Y66" s="46">
        <f>SUM(Y67:Y71)</f>
        <v>28880</v>
      </c>
      <c r="Z66" s="46">
        <f>SUMIF($B$13:$Y$13,"Yes",B66:Y66)</f>
        <v>765320</v>
      </c>
      <c r="AA66" s="46">
        <f>SUM(B66:M66)</f>
        <v>382660</v>
      </c>
      <c r="AB66" s="46">
        <f>SUM(B66:Y66)</f>
        <v>765320</v>
      </c>
    </row>
    <row r="67" spans="1:30" hidden="true" outlineLevel="1">
      <c r="A67" s="181" t="str">
        <f>Calculations!$A$4</f>
        <v>Tea</v>
      </c>
      <c r="B67" s="36">
        <f>N67</f>
        <v>18050</v>
      </c>
      <c r="C67" s="36">
        <f>O67</f>
        <v>18050</v>
      </c>
      <c r="D67" s="36">
        <f>P67</f>
        <v>18050</v>
      </c>
      <c r="E67" s="36">
        <f>Q67</f>
        <v>18050</v>
      </c>
      <c r="F67" s="36">
        <f>R67</f>
        <v>18050</v>
      </c>
      <c r="G67" s="36">
        <f>S67</f>
        <v>18050</v>
      </c>
      <c r="H67" s="36">
        <f>T67</f>
        <v>18050</v>
      </c>
      <c r="I67" s="36">
        <f>U67</f>
        <v>18050</v>
      </c>
      <c r="J67" s="36">
        <f>V67</f>
        <v>18050</v>
      </c>
      <c r="K67" s="36">
        <f>W67</f>
        <v>18050</v>
      </c>
      <c r="L67" s="36">
        <f>X67</f>
        <v>18050</v>
      </c>
      <c r="M67" s="36">
        <f>Y67</f>
        <v>18050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18050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18050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18050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18050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18050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18050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18050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18050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18050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18050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18050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18050</v>
      </c>
      <c r="Z67" s="46">
        <f>SUMIF($B$13:$Y$13,"Yes",B67:Y67)</f>
        <v>433200</v>
      </c>
      <c r="AA67" s="46">
        <f>SUM(B67:M67)</f>
        <v>216600</v>
      </c>
      <c r="AB67" s="46">
        <f>SUM(B67:Y67)</f>
        <v>433200</v>
      </c>
    </row>
    <row r="68" spans="1:30" hidden="true" outlineLevel="1">
      <c r="A68" s="181" t="str">
        <f>Calculations!$A$5</f>
        <v>Maize</v>
      </c>
      <c r="B68" s="36">
        <f>N68</f>
        <v>10830</v>
      </c>
      <c r="C68" s="36">
        <f>O68</f>
        <v>10830</v>
      </c>
      <c r="D68" s="36">
        <f>P68</f>
        <v>10830</v>
      </c>
      <c r="E68" s="36">
        <f>Q68</f>
        <v>10830</v>
      </c>
      <c r="F68" s="36">
        <f>R68</f>
        <v>10830</v>
      </c>
      <c r="G68" s="36">
        <f>S68</f>
        <v>10830</v>
      </c>
      <c r="H68" s="36">
        <f>T68</f>
        <v>10830</v>
      </c>
      <c r="I68" s="36">
        <f>U68</f>
        <v>10830</v>
      </c>
      <c r="J68" s="36">
        <f>V68</f>
        <v>10830</v>
      </c>
      <c r="K68" s="36">
        <f>W68</f>
        <v>10830</v>
      </c>
      <c r="L68" s="36">
        <f>X68</f>
        <v>10830</v>
      </c>
      <c r="M68" s="36">
        <f>Y68</f>
        <v>10830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10830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10830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10830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10830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10830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10830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10830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10830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10830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10830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10830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10830</v>
      </c>
      <c r="Z68" s="46">
        <f>SUMIF($B$13:$Y$13,"Yes",B68:Y68)</f>
        <v>259920</v>
      </c>
      <c r="AA68" s="46">
        <f>SUM(B68:M68)</f>
        <v>129960</v>
      </c>
      <c r="AB68" s="46">
        <f>SUM(B68:Y68)</f>
        <v>259920</v>
      </c>
    </row>
    <row r="69" spans="1:30" hidden="true" outlineLevel="1">
      <c r="A69" s="181" t="str">
        <f>Calculations!$A$6</f>
        <v>Beans</v>
      </c>
      <c r="B69" s="36">
        <f>N69</f>
        <v>3610</v>
      </c>
      <c r="C69" s="36">
        <f>O69</f>
        <v>3610</v>
      </c>
      <c r="D69" s="36">
        <f>P69</f>
        <v>3610</v>
      </c>
      <c r="E69" s="36">
        <f>Q69</f>
        <v>3610</v>
      </c>
      <c r="F69" s="36">
        <f>R69</f>
        <v>3610</v>
      </c>
      <c r="G69" s="36">
        <f>S69</f>
        <v>0</v>
      </c>
      <c r="H69" s="36">
        <f>T69</f>
        <v>3610</v>
      </c>
      <c r="I69" s="36">
        <f>U69</f>
        <v>3610</v>
      </c>
      <c r="J69" s="36">
        <f>V69</f>
        <v>3610</v>
      </c>
      <c r="K69" s="36">
        <f>W69</f>
        <v>3610</v>
      </c>
      <c r="L69" s="36">
        <f>X69</f>
        <v>3610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3610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3610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3610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3610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3610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3610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3610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3610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3610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3610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72200</v>
      </c>
      <c r="AA69" s="46">
        <f>SUM(B69:M69)</f>
        <v>36100</v>
      </c>
      <c r="AB69" s="46">
        <f>SUM(B69:Y69)</f>
        <v>72200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127750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10800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1733.333333333333</v>
      </c>
      <c r="C76" s="46">
        <f>SUM(Calculations!$S$14:$S$16)/12</f>
        <v>1733.333333333333</v>
      </c>
      <c r="D76" s="46">
        <f>SUM(Calculations!$S$14:$S$16)/12</f>
        <v>1733.333333333333</v>
      </c>
      <c r="E76" s="46">
        <f>SUM(Calculations!$S$14:$S$16)/12</f>
        <v>1733.333333333333</v>
      </c>
      <c r="F76" s="46">
        <f>SUM(Calculations!$S$14:$S$16)/12</f>
        <v>1733.333333333333</v>
      </c>
      <c r="G76" s="46">
        <f>SUM(Calculations!$S$14:$S$16)/12</f>
        <v>1733.333333333333</v>
      </c>
      <c r="H76" s="46">
        <f>SUM(Calculations!$S$14:$S$16)/12</f>
        <v>1733.333333333333</v>
      </c>
      <c r="I76" s="46">
        <f>SUM(Calculations!$S$14:$S$16)/12</f>
        <v>1733.333333333333</v>
      </c>
      <c r="J76" s="46">
        <f>SUM(Calculations!$S$14:$S$16)/12</f>
        <v>1733.333333333333</v>
      </c>
      <c r="K76" s="46">
        <f>SUM(Calculations!$S$14:$S$16)/12</f>
        <v>1733.333333333333</v>
      </c>
      <c r="L76" s="46">
        <f>SUM(Calculations!$S$14:$S$16)/12</f>
        <v>1733.333333333333</v>
      </c>
      <c r="M76" s="46">
        <f>SUM(Calculations!$S$14:$S$16)/12</f>
        <v>1733.333333333333</v>
      </c>
      <c r="N76" s="46">
        <f>SUM(Calculations!$S$14:$S$16)/12</f>
        <v>1733.333333333333</v>
      </c>
      <c r="O76" s="46">
        <f>SUM(Calculations!$S$14:$S$16)/12</f>
        <v>1733.333333333333</v>
      </c>
      <c r="P76" s="46">
        <f>SUM(Calculations!$S$14:$S$16)/12</f>
        <v>1733.333333333333</v>
      </c>
      <c r="Q76" s="46">
        <f>SUM(Calculations!$S$14:$S$16)/12</f>
        <v>1733.333333333333</v>
      </c>
      <c r="R76" s="46">
        <f>SUM(Calculations!$S$14:$S$16)/12</f>
        <v>1733.333333333333</v>
      </c>
      <c r="S76" s="46">
        <f>SUM(Calculations!$S$14:$S$16)/12</f>
        <v>1733.333333333333</v>
      </c>
      <c r="T76" s="46">
        <f>SUM(Calculations!$S$14:$S$16)/12</f>
        <v>1733.333333333333</v>
      </c>
      <c r="U76" s="46">
        <f>SUM(Calculations!$S$14:$S$16)/12</f>
        <v>1733.333333333333</v>
      </c>
      <c r="V76" s="46">
        <f>SUM(Calculations!$S$14:$S$16)/12</f>
        <v>1733.333333333333</v>
      </c>
      <c r="W76" s="46">
        <f>SUM(Calculations!$S$14:$S$16)/12</f>
        <v>1733.333333333333</v>
      </c>
      <c r="X76" s="46">
        <f>SUM(Calculations!$S$14:$S$16)/12</f>
        <v>1733.333333333333</v>
      </c>
      <c r="Y76" s="46">
        <f>SUM(Calculations!$S$14:$S$16)/12</f>
        <v>1733.333333333333</v>
      </c>
      <c r="Z76" s="46">
        <f>SUMIF($B$13:$Y$13,"Yes",B76:Y76)</f>
        <v>41600.00000000001</v>
      </c>
      <c r="AA76" s="46">
        <f>SUM(B76:M76)</f>
        <v>20800</v>
      </c>
      <c r="AB76" s="46">
        <f>SUM(B76:Y76)</f>
        <v>41600.00000000001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24000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23909.53740577535</v>
      </c>
      <c r="C81" s="46">
        <f>(SUM($AA$18:$AA$29)-SUM($AA$36,$AA$42,$AA$48,$AA$54,$AA$60,$AA$66,$AA$72:$AA$79))*Parameters!$B$37/12</f>
        <v>23909.53740577535</v>
      </c>
      <c r="D81" s="46">
        <f>(SUM($AA$18:$AA$29)-SUM($AA$36,$AA$42,$AA$48,$AA$54,$AA$60,$AA$66,$AA$72:$AA$79))*Parameters!$B$37/12</f>
        <v>23909.53740577535</v>
      </c>
      <c r="E81" s="46">
        <f>(SUM($AA$18:$AA$29)-SUM($AA$36,$AA$42,$AA$48,$AA$54,$AA$60,$AA$66,$AA$72:$AA$79))*Parameters!$B$37/12</f>
        <v>23909.53740577535</v>
      </c>
      <c r="F81" s="46">
        <f>(SUM($AA$18:$AA$29)-SUM($AA$36,$AA$42,$AA$48,$AA$54,$AA$60,$AA$66,$AA$72:$AA$79))*Parameters!$B$37/12</f>
        <v>23909.53740577535</v>
      </c>
      <c r="G81" s="46">
        <f>(SUM($AA$18:$AA$29)-SUM($AA$36,$AA$42,$AA$48,$AA$54,$AA$60,$AA$66,$AA$72:$AA$79))*Parameters!$B$37/12</f>
        <v>23909.53740577535</v>
      </c>
      <c r="H81" s="46">
        <f>(SUM($AA$18:$AA$29)-SUM($AA$36,$AA$42,$AA$48,$AA$54,$AA$60,$AA$66,$AA$72:$AA$79))*Parameters!$B$37/12</f>
        <v>23909.53740577535</v>
      </c>
      <c r="I81" s="46">
        <f>(SUM($AA$18:$AA$29)-SUM($AA$36,$AA$42,$AA$48,$AA$54,$AA$60,$AA$66,$AA$72:$AA$79))*Parameters!$B$37/12</f>
        <v>23909.53740577535</v>
      </c>
      <c r="J81" s="46">
        <f>(SUM($AA$18:$AA$29)-SUM($AA$36,$AA$42,$AA$48,$AA$54,$AA$60,$AA$66,$AA$72:$AA$79))*Parameters!$B$37/12</f>
        <v>23909.53740577535</v>
      </c>
      <c r="K81" s="46">
        <f>(SUM($AA$18:$AA$29)-SUM($AA$36,$AA$42,$AA$48,$AA$54,$AA$60,$AA$66,$AA$72:$AA$79))*Parameters!$B$37/12</f>
        <v>23909.53740577535</v>
      </c>
      <c r="L81" s="46">
        <f>(SUM($AA$18:$AA$29)-SUM($AA$36,$AA$42,$AA$48,$AA$54,$AA$60,$AA$66,$AA$72:$AA$79))*Parameters!$B$37/12</f>
        <v>23909.53740577535</v>
      </c>
      <c r="M81" s="46">
        <f>(SUM($AA$18:$AA$29)-SUM($AA$36,$AA$42,$AA$48,$AA$54,$AA$60,$AA$66,$AA$72:$AA$79))*Parameters!$B$37/12</f>
        <v>23909.53740577535</v>
      </c>
      <c r="N81" s="46">
        <f>(SUM($AA$18:$AA$29)-SUM($AA$36,$AA$42,$AA$48,$AA$54,$AA$60,$AA$66,$AA$72:$AA$79))*Parameters!$B$37/12</f>
        <v>23909.53740577535</v>
      </c>
      <c r="O81" s="46">
        <f>(SUM($AA$18:$AA$29)-SUM($AA$36,$AA$42,$AA$48,$AA$54,$AA$60,$AA$66,$AA$72:$AA$79))*Parameters!$B$37/12</f>
        <v>23909.53740577535</v>
      </c>
      <c r="P81" s="46">
        <f>(SUM($AA$18:$AA$29)-SUM($AA$36,$AA$42,$AA$48,$AA$54,$AA$60,$AA$66,$AA$72:$AA$79))*Parameters!$B$37/12</f>
        <v>23909.53740577535</v>
      </c>
      <c r="Q81" s="46">
        <f>(SUM($AA$18:$AA$29)-SUM($AA$36,$AA$42,$AA$48,$AA$54,$AA$60,$AA$66,$AA$72:$AA$79))*Parameters!$B$37/12</f>
        <v>23909.53740577535</v>
      </c>
      <c r="R81" s="46">
        <f>(SUM($AA$18:$AA$29)-SUM($AA$36,$AA$42,$AA$48,$AA$54,$AA$60,$AA$66,$AA$72:$AA$79))*Parameters!$B$37/12</f>
        <v>23909.53740577535</v>
      </c>
      <c r="S81" s="46">
        <f>(SUM($AA$18:$AA$29)-SUM($AA$36,$AA$42,$AA$48,$AA$54,$AA$60,$AA$66,$AA$72:$AA$79))*Parameters!$B$37/12</f>
        <v>23909.53740577535</v>
      </c>
      <c r="T81" s="46">
        <f>(SUM($AA$18:$AA$29)-SUM($AA$36,$AA$42,$AA$48,$AA$54,$AA$60,$AA$66,$AA$72:$AA$79))*Parameters!$B$37/12</f>
        <v>23909.53740577535</v>
      </c>
      <c r="U81" s="46">
        <f>(SUM($AA$18:$AA$29)-SUM($AA$36,$AA$42,$AA$48,$AA$54,$AA$60,$AA$66,$AA$72:$AA$79))*Parameters!$B$37/12</f>
        <v>23909.53740577535</v>
      </c>
      <c r="V81" s="46">
        <f>(SUM($AA$18:$AA$29)-SUM($AA$36,$AA$42,$AA$48,$AA$54,$AA$60,$AA$66,$AA$72:$AA$79))*Parameters!$B$37/12</f>
        <v>23909.53740577535</v>
      </c>
      <c r="W81" s="46">
        <f>(SUM($AA$18:$AA$29)-SUM($AA$36,$AA$42,$AA$48,$AA$54,$AA$60,$AA$66,$AA$72:$AA$79))*Parameters!$B$37/12</f>
        <v>23909.53740577535</v>
      </c>
      <c r="X81" s="46">
        <f>(SUM($AA$18:$AA$29)-SUM($AA$36,$AA$42,$AA$48,$AA$54,$AA$60,$AA$66,$AA$72:$AA$79))*Parameters!$B$37/12</f>
        <v>23909.53740577535</v>
      </c>
      <c r="Y81" s="46">
        <f>(SUM($AA$18:$AA$29)-SUM($AA$36,$AA$42,$AA$48,$AA$54,$AA$60,$AA$66,$AA$72:$AA$79))*Parameters!$B$37/12</f>
        <v>23909.53740577535</v>
      </c>
      <c r="Z81" s="46">
        <f>SUMIF($B$13:$Y$13,"Yes",B81:Y81)</f>
        <v>573828.8977386083</v>
      </c>
      <c r="AA81" s="46">
        <f>SUM(B81:M81)</f>
        <v>286914.4488693041</v>
      </c>
      <c r="AB81" s="46">
        <f>SUM(B81:Y81)</f>
        <v>573828.8977386083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81342.12073910868</v>
      </c>
      <c r="C88" s="19">
        <f>SUM(C72:C82,C66,C60,C54,C48,C42,C36)</f>
        <v>66239.12073910868</v>
      </c>
      <c r="D88" s="19">
        <f>SUM(D72:D82,D66,D60,D54,D48,D42,D36)</f>
        <v>69239.12073910868</v>
      </c>
      <c r="E88" s="19">
        <f>SUM(E72:E82,E66,E60,E54,E48,E42,E36)</f>
        <v>66239.12073910868</v>
      </c>
      <c r="F88" s="19">
        <f>SUM(F72:F82,F66,F60,F54,F48,F42,F36)</f>
        <v>66239.12073910868</v>
      </c>
      <c r="G88" s="19">
        <f>SUM(G72:G82,G66,G60,G54,G48,G42,G36)</f>
        <v>62629.12073910869</v>
      </c>
      <c r="H88" s="19">
        <f>SUM(H72:H82,H66,H60,H54,H48,H42,H36)</f>
        <v>70739.12073910868</v>
      </c>
      <c r="I88" s="19">
        <f>SUM(I72:I82,I66,I60,I54,I48,I42,I36)</f>
        <v>66239.12073910868</v>
      </c>
      <c r="J88" s="19">
        <f>SUM(J72:J82,J66,J60,J54,J48,J42,J36)</f>
        <v>69239.12073910868</v>
      </c>
      <c r="K88" s="19">
        <f>SUM(K72:K82,K66,K60,K54,K48,K42,K36)</f>
        <v>66239.12073910868</v>
      </c>
      <c r="L88" s="19">
        <f>SUM(L72:L82,L66,L60,L54,L48,L42,L36)</f>
        <v>66239.12073910868</v>
      </c>
      <c r="M88" s="19">
        <f>SUM(M72:M82,M66,M60,M54,M48,M42,M36)</f>
        <v>62629.12073910869</v>
      </c>
      <c r="N88" s="19">
        <f>SUM(N72:N82,N66,N60,N54,N48,N42,N36)</f>
        <v>81342.12073910868</v>
      </c>
      <c r="O88" s="19">
        <f>SUM(O72:O82,O66,O60,O54,O48,O42,O36)</f>
        <v>66239.12073910868</v>
      </c>
      <c r="P88" s="19">
        <f>SUM(P72:P82,P66,P60,P54,P48,P42,P36)</f>
        <v>69239.12073910868</v>
      </c>
      <c r="Q88" s="19">
        <f>SUM(Q72:Q82,Q66,Q60,Q54,Q48,Q42,Q36)</f>
        <v>66239.12073910868</v>
      </c>
      <c r="R88" s="19">
        <f>SUM(R72:R82,R66,R60,R54,R48,R42,R36)</f>
        <v>66239.12073910868</v>
      </c>
      <c r="S88" s="19">
        <f>SUM(S72:S82,S66,S60,S54,S48,S42,S36)</f>
        <v>62629.12073910869</v>
      </c>
      <c r="T88" s="19">
        <f>SUM(T72:T82,T66,T60,T54,T48,T42,T36)</f>
        <v>70739.12073910868</v>
      </c>
      <c r="U88" s="19">
        <f>SUM(U72:U82,U66,U60,U54,U48,U42,U36)</f>
        <v>66239.12073910868</v>
      </c>
      <c r="V88" s="19">
        <f>SUM(V72:V82,V66,V60,V54,V48,V42,V36)</f>
        <v>69239.12073910868</v>
      </c>
      <c r="W88" s="19">
        <f>SUM(W72:W82,W66,W60,W54,W48,W42,W36)</f>
        <v>66239.12073910868</v>
      </c>
      <c r="X88" s="19">
        <f>SUM(X72:X82,X66,X60,X54,X48,X42,X36)</f>
        <v>66239.12073910868</v>
      </c>
      <c r="Y88" s="19">
        <f>SUM(Y72:Y82,Y66,Y60,Y54,Y48,Y42,Y36)</f>
        <v>62629.12073910869</v>
      </c>
      <c r="Z88" s="19">
        <f>SUMIF($B$13:$Y$13,"Yes",B88:Y88)</f>
        <v>1626504.897738608</v>
      </c>
      <c r="AA88" s="19">
        <f>SUM(B88:M88)</f>
        <v>813252.448869304</v>
      </c>
      <c r="AB88" s="19">
        <f>SUM(B88:Y88)</f>
        <v>1626504.897738608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49350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2649350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4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40000</v>
      </c>
    </row>
    <row r="31" spans="1:48">
      <c r="A31" s="5" t="s">
        <v>119</v>
      </c>
      <c r="B31" s="158">
        <v>1000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600000</v>
      </c>
    </row>
    <row r="46" spans="1:48" customHeight="1" ht="30">
      <c r="A46" s="57" t="s">
        <v>133</v>
      </c>
      <c r="B46" s="161">
        <v>200000</v>
      </c>
    </row>
    <row r="47" spans="1:48" customHeight="1" ht="30">
      <c r="A47" s="57" t="s">
        <v>134</v>
      </c>
      <c r="B47" s="161">
        <v>0</v>
      </c>
    </row>
    <row r="48" spans="1:48" customHeight="1" ht="30">
      <c r="A48" s="57" t="s">
        <v>135</v>
      </c>
      <c r="B48" s="161">
        <v>1000000</v>
      </c>
    </row>
    <row r="49" spans="1:48" customHeight="1" ht="30">
      <c r="A49" s="57" t="s">
        <v>136</v>
      </c>
      <c r="B49" s="161">
        <v>49350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1300000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16000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>
        <v>2400</v>
      </c>
      <c r="B58" s="157">
        <v>0</v>
      </c>
      <c r="C58" s="164" t="s">
        <v>151</v>
      </c>
      <c r="D58" s="165" t="s">
        <v>152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154</v>
      </c>
      <c r="C65" s="10" t="s">
        <v>155</v>
      </c>
    </row>
    <row r="66" spans="1:48">
      <c r="A66" s="142" t="s">
        <v>156</v>
      </c>
      <c r="B66" s="159">
        <v>109630</v>
      </c>
      <c r="C66" s="163">
        <v>85223</v>
      </c>
      <c r="D66" s="49">
        <f>INDEX(Parameters!$D$79:$D$90,MATCH(Inputs!A66,Parameters!$C$79:$C$90,0))</f>
        <v>2</v>
      </c>
    </row>
    <row r="67" spans="1:48">
      <c r="A67" s="143" t="s">
        <v>157</v>
      </c>
      <c r="B67" s="157">
        <v>323761</v>
      </c>
      <c r="C67" s="165">
        <v>294036</v>
      </c>
      <c r="D67" s="49">
        <f>INDEX(Parameters!$D$79:$D$90,MATCH(Inputs!A67,Parameters!$C$79:$C$90,0))</f>
        <v>1</v>
      </c>
    </row>
    <row r="68" spans="1:48">
      <c r="A68" s="143" t="s">
        <v>158</v>
      </c>
      <c r="B68" s="157">
        <v>168643</v>
      </c>
      <c r="C68" s="165">
        <v>149642</v>
      </c>
      <c r="D68" s="49">
        <f>INDEX(Parameters!$D$79:$D$90,MATCH(Inputs!A68,Parameters!$C$79:$C$90,0))</f>
        <v>12</v>
      </c>
    </row>
    <row r="69" spans="1:48">
      <c r="A69" s="143" t="s">
        <v>159</v>
      </c>
      <c r="B69" s="157">
        <v>142265</v>
      </c>
      <c r="C69" s="165">
        <v>115830</v>
      </c>
      <c r="D69" s="49">
        <f>INDEX(Parameters!$D$79:$D$90,MATCH(Inputs!A69,Parameters!$C$79:$C$90,0))</f>
        <v>11</v>
      </c>
    </row>
    <row r="70" spans="1:48">
      <c r="A70" s="143" t="s">
        <v>160</v>
      </c>
      <c r="B70" s="157">
        <v>174954</v>
      </c>
      <c r="C70" s="165">
        <v>152382</v>
      </c>
      <c r="D70" s="49">
        <f>INDEX(Parameters!$D$79:$D$90,MATCH(Inputs!A70,Parameters!$C$79:$C$90,0))</f>
        <v>10</v>
      </c>
    </row>
    <row r="71" spans="1:48">
      <c r="A71" s="144" t="s">
        <v>161</v>
      </c>
      <c r="B71" s="158">
        <v>176121</v>
      </c>
      <c r="C71" s="167">
        <v>162031</v>
      </c>
      <c r="D71" s="49">
        <f>INDEX(Parameters!$D$79:$D$90,MATCH(Inputs!A71,Parameters!$C$79:$C$90,0))</f>
        <v>9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25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300000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24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Tea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940.1663093200297</v>
      </c>
      <c r="M4" s="25">
        <f>L4*H4</f>
        <v>7521.330474560237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32.2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242186.8412808396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0.6956521739130435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>
        <f>IFERROR(DATE(YEAR(B5),MONTH(B5)+T5,DAY(B5)),"")</f>
        <v>43160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43221</v>
      </c>
      <c r="D6" s="39">
        <f>IFERROR(DATE(YEAR(B6),MONTH(B6)+T6,DAY(B6)),"")</f>
        <v>43282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43405</v>
      </c>
      <c r="G6" s="39">
        <f>IFERROR(IF($S6=0,"",IF($S6=2,DATE(YEAR(D6),MONTH(D6)+6,DAY(D6)),IF($S6=1,D6,""))),"")</f>
        <v>43466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596.9340685804706</v>
      </c>
      <c r="M6" s="30">
        <f>L6*H6</f>
        <v>596.9340685804706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27787.2808924209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2500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19000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110400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2400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43197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43191</v>
      </c>
      <c r="F33" t="s">
        <v>167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43227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43221</v>
      </c>
      <c r="F34" t="s">
        <v>168</v>
      </c>
      <c r="G34" s="128">
        <f>IF(Inputs!B80="","",DATE(YEAR(Inputs!B80),MONTH(Inputs!B80),DAY(Inputs!B80)))</f>
        <v>43197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43258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43252</v>
      </c>
      <c r="F35" t="s">
        <v>170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43288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43282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43319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43313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43350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43344</v>
      </c>
      <c r="F38" t="s">
        <v>233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43380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43374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43411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43405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43441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43435</v>
      </c>
      <c r="F41" t="s">
        <v>234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43472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43466</v>
      </c>
      <c r="F42" t="s">
        <v>235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43503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43531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43562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43592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43623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43653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43684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43715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43745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43776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43806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43837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43868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43897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236</v>
      </c>
      <c r="E53" s="10" t="s">
        <v>195</v>
      </c>
      <c r="F53" s="10" t="s">
        <v>255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173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232</v>
      </c>
      <c r="J76" s="11" t="s">
        <v>352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130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111</v>
      </c>
      <c r="H78" s="12" t="s">
        <v>319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173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