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<sst xmlns="http://schemas.openxmlformats.org/spreadsheetml/2006/main" uniqueCount="374">
  <si>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</si>
  <si>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</si>
  <si>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</si>
  <si>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</si>
  <si>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</si>
  <si>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</si>
  <si>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</si>
  <si>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</si>
  <si>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</si>
  <si>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</si>
  <si>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</si>
  <si>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</si>
  <si>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</si>
  <si>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</si>
  <si>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</si>
  <si>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</si>
  <si>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</si>
  <si>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</si>
  <si>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</si>
  <si>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</si>
  <si>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</si>
  <si>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</si>
  <si>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</si>
  <si>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</si>
  <si>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</si>
  <si>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</si>
  <si>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</si>
  <si>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</si>
  <si>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</si>
  <si>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</si>
  <si>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</si>
  <si>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</si>
  <si>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</si>
  <si>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</si>
  <si>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</si>
  <si>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</si>
  <si>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</si>
  <si>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</si>
  <si>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</si>
  <si>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</si>
  <si>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</si>
  <si>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</si>
  <si>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</si>
  <si>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</si>
  <si>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</si>
  <si>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</si>
  <si>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</si>
  <si>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</si>
  <si>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</si>
  <si>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</si>
  <si>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</si>
  <si>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</si>
  <si>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</si>
  <si>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</si>
  <si>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</si>
  <si>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</si>
  <si>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</si>
  <si>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</si>
  <si>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</si>
  <si>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</si>
  <si>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</si>
  <si>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</si>
  <si>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</si>
  <si>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</si>
  <si>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</si>
  <si>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</si>
  <si>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</si>
  <si>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</si>
  <si>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</si>
  <si>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</si>
  <si>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</si>
  <si>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</si>
  <si>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</si>
  <si>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</si>
  <si>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</si>
  <si>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</si>
  <si>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</si>
  <si>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</si>
  <si>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</si>
  <si>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</si>
  <si>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</si>
  <si>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</si>
  <si>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</si>
  <si>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</si>
  <si>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</si>
  <si>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</si>
  <si>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</si>
  <si>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</si>
  <si>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</si>
  <si>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</si>
  <si>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</si>
  <si>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Yes both manure and inorganic</t>
  </si>
  <si>
    <t>Yes</t>
  </si>
  <si>
    <t>No</t>
  </si>
  <si>
    <t>April</t>
  </si>
  <si>
    <t>Potatoes</t>
  </si>
  <si>
    <t>Carrots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</si>
  <si>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</si>
  <si>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</si>
  <si>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</si>
  <si>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</si>
  <si>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</si>
  <si>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</si>
  <si>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</si>
  <si>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</si>
  <si>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</si>
  <si>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</si>
  <si>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</si>
  <si>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</si>
  <si>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</si>
  <si>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</si>
  <si>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</si>
  <si>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</si>
  <si>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</si>
  <si>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Rentals/Petroleum business and Employment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</si>
  <si>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</si>
  <si>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</si>
  <si>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</si>
  <si>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</si>
  <si>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</si>
  <si>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</si>
  <si>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</si>
  <si>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</si>
  <si>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</si>
  <si>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</si>
  <si>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</si>
  <si>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</si>
  <si>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</si>
  <si>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</si>
  <si>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</si>
  <si>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</si>
  <si>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</si>
  <si>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</si>
  <si>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</si>
  <si>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</si>
  <si>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</si>
  <si>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</si>
  <si>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</si>
  <si>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</si>
  <si>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</si>
  <si>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</si>
  <si>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</si>
  <si>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6/30/2017</t>
  </si>
  <si>
    <t xml:space="preserve">Equity bank </t>
  </si>
  <si>
    <t>well paid</t>
  </si>
  <si>
    <t>1/20/2018</t>
  </si>
  <si>
    <t>Unaitas</t>
  </si>
  <si>
    <t>Okay</t>
  </si>
  <si>
    <t>3/12/2016</t>
  </si>
  <si>
    <t xml:space="preserve">Natoco Sacco  </t>
  </si>
  <si>
    <t>Well paid. Checkoff</t>
  </si>
  <si>
    <t>Mpesa &amp; bank cash flows (from past statements)</t>
  </si>
  <si>
    <t>Cash inflows</t>
  </si>
  <si>
    <t>Cash outflows</t>
  </si>
  <si>
    <t>February</t>
  </si>
  <si>
    <t>January</t>
  </si>
  <si>
    <t>December</t>
  </si>
  <si>
    <t>November</t>
  </si>
  <si>
    <t>October</t>
  </si>
  <si>
    <t>September</t>
  </si>
  <si>
    <t>Loan info</t>
  </si>
  <si>
    <t>Branch ID</t>
  </si>
  <si>
    <t>Submission date</t>
  </si>
  <si>
    <t>2018/3/7</t>
  </si>
  <si>
    <t>Loan terms</t>
  </si>
  <si>
    <t>Expected disbursement date</t>
  </si>
  <si>
    <t>Expected first repayment date</t>
  </si>
  <si>
    <t>2018/3/20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</si>
  <si>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</si>
  <si>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</si>
  <si>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</si>
  <si>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</si>
  <si>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</si>
  <si>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</si>
  <si>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</si>
  <si>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</si>
  <si>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</si>
  <si>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</si>
  <si>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</si>
  <si>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</si>
  <si>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</si>
  <si>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</si>
  <si>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</si>
  <si>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</si>
  <si>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</si>
  <si>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</si>
  <si>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</si>
  <si>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</si>
  <si>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</si>
  <si>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</si>
  <si>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</si>
  <si>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</si>
  <si>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</si>
  <si>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</si>
  <si>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</si>
  <si>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</si>
  <si>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</si>
  <si>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</si>
  <si>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</si>
  <si>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</si>
  <si>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</si>
  <si>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</si>
  <si>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</si>
  <si>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</si>
  <si>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</si>
  <si>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</si>
  <si>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</si>
  <si>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</si>
  <si>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</si>
  <si>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</si>
  <si>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</si>
  <si>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</si>
  <si>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</si>
  <si>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</si>
  <si>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</si>
  <si>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</si>
  <si>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</si>
  <si>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</si>
  <si>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</si>
  <si>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</si>
  <si>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</si>
  <si>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</si>
  <si>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</si>
  <si>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</si>
  <si>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</si>
  <si>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</si>
  <si>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</si>
  <si>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</si>
  <si>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</si>
  <si>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</si>
  <si>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</si>
  <si>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</si>
  <si>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</si>
  <si>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</si>
  <si>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</si>
  <si>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</si>
  <si>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</si>
  <si>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</si>
  <si>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</si>
  <si>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</si>
  <si>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</si>
  <si>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</si>
  <si>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</si>
  <si>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</si>
  <si>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</si>
  <si>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</si>
  <si>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</si>
  <si>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</si>
  <si>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</si>
  <si>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</si>
  <si>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</si>
  <si>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</si>
  <si>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</si>
  <si>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</si>
  <si>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</si>
  <si>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</si>
  <si>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</si>
  <si>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</si>
  <si>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</si>
  <si>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</si>
  <si>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</si>
  <si>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</si>
  <si>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</si>
  <si>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</si>
  <si>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</si>
  <si>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</si>
  <si>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</si>
  <si>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</si>
  <si>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</si>
  <si>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</si>
  <si>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</si>
  <si>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</si>
  <si>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</si>
  <si>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</si>
  <si>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</si>
  <si>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</si>
  <si>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</si>
  <si>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</si>
  <si>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</si>
  <si>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</si>
  <si>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</si>
  <si>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</si>
  <si>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</si>
  <si>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</si>
  <si>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</si>
  <si>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</si>
  <si>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</si>
  <si>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</si>
  <si>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</si>
  <si>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</si>
  <si>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</si>
  <si>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</si>
  <si>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</si>
  <si>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</si>
  <si>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</si>
  <si>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</si>
  <si>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</si>
  <si>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</si>
  <si>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</si>
  <si>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</si>
  <si>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</si>
  <si>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</si>
  <si>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</si>
  <si>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</si>
  <si>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</si>
  <si>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</si>
  <si>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</si>
  <si>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</si>
  <si>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</si>
  <si>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</si>
  <si>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</si>
  <si>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</si>
  <si>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</si>
  <si>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</si>
  <si>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</si>
  <si>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</si>
  <si>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</si>
  <si>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</si>
  <si>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</si>
  <si>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</si>
  <si>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</si>
  <si>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</si>
  <si>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</si>
  <si>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</si>
  <si>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</si>
  <si>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</si>
  <si>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</si>
  <si>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</si>
  <si>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</si>
  <si>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</si>
  <si>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</si>
  <si>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</si>
  <si>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</si>
  <si>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</si>
  <si>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</si>
  <si>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</si>
  <si>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</si>
  <si>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</si>
  <si>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</si>
  <si>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</si>
  <si>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</si>
  <si>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</si>
  <si>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</si>
  <si>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</si>
  <si>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</si>
  <si>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</si>
  <si>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</si>
  <si>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</si>
  <si>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</si>
  <si>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</si>
  <si>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</si>
  <si>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</si>
  <si>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</si>
  <si>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</si>
  <si>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</si>
  <si>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</si>
  <si>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</si>
  <si>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</si>
  <si>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</si>
  <si>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</si>
  <si>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</si>
  <si>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</si>
  <si>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</si>
  <si>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</si>
  <si>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</si>
  <si>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</si>
  <si>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</si>
  <si>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</si>
  <si>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March</t>
  </si>
  <si>
    <t>NGO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</si>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</sst>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Potatoes, Carrots,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Rentals/Petroleum business and Employment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0.2643500210227583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2018</v>
      </c>
    </row>
    <row r="13" spans="1:7">
      <c r="B13" s="1" t="s">
        <v>8</v>
      </c>
      <c r="C13" s="67">
        <f>IFERROR(Output!B107/Output!B101,"")</f>
        <v>0.06955195851263378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71111.11111111111</v>
      </c>
    </row>
    <row r="17" spans="1:7">
      <c r="B17" s="1" t="s">
        <v>11</v>
      </c>
      <c r="C17" s="36">
        <f>SUM(Output!B6:M6)</f>
        <v>2360625.19231306</v>
      </c>
    </row>
    <row r="18" spans="1:7">
      <c r="B18" s="1" t="s">
        <v>12</v>
      </c>
      <c r="C18" s="36">
        <f>MIN(Output!B6:M6)</f>
        <v>-459606.2897690262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1231635.365632823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633333.3333333334</v>
      </c>
    </row>
    <row r="25" spans="1:7">
      <c r="B25" s="1" t="s">
        <v>18</v>
      </c>
      <c r="C25" s="36">
        <f>MAX(Inputs!A56:A60)</f>
        <v>800000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-148046.2897690263</v>
      </c>
      <c r="C6" s="51">
        <f>C30-C88</f>
        <v>-459606.2897690262</v>
      </c>
      <c r="D6" s="51">
        <f>D30-D88</f>
        <v>-214346.2897690263</v>
      </c>
      <c r="E6" s="51">
        <f>E30-E88</f>
        <v>-278146.2897690263</v>
      </c>
      <c r="F6" s="51">
        <f>F30-F88</f>
        <v>1048822.389599813</v>
      </c>
      <c r="G6" s="51">
        <f>G30-G88</f>
        <v>1231635.365632823</v>
      </c>
      <c r="H6" s="51">
        <f>H30-H88</f>
        <v>-148046.2897690263</v>
      </c>
      <c r="I6" s="51">
        <f>I30-I88</f>
        <v>-459606.2897690262</v>
      </c>
      <c r="J6" s="51">
        <f>J30-J88</f>
        <v>-214346.2897690263</v>
      </c>
      <c r="K6" s="51">
        <f>K30-K88</f>
        <v>-278146.2897690263</v>
      </c>
      <c r="L6" s="51">
        <f>L30-L88</f>
        <v>1048822.389599813</v>
      </c>
      <c r="M6" s="51">
        <f>M30-M88</f>
        <v>1231635.365632823</v>
      </c>
      <c r="N6" s="51">
        <f>N30-N88</f>
        <v>-148046.2897690263</v>
      </c>
      <c r="O6" s="51">
        <f>O30-O88</f>
        <v>-459606.2897690262</v>
      </c>
      <c r="P6" s="51">
        <f>P30-P88</f>
        <v>-214346.2897690263</v>
      </c>
      <c r="Q6" s="51">
        <f>Q30-Q88</f>
        <v>-278146.2897690263</v>
      </c>
      <c r="R6" s="51">
        <f>R30-R88</f>
        <v>1048822.389599813</v>
      </c>
      <c r="S6" s="51">
        <f>S30-S88</f>
        <v>1231635.365632823</v>
      </c>
      <c r="T6" s="51">
        <f>T30-T88</f>
        <v>-148046.2897690263</v>
      </c>
      <c r="U6" s="51">
        <f>U30-U88</f>
        <v>-459606.2897690262</v>
      </c>
      <c r="V6" s="51">
        <f>V30-V88</f>
        <v>-206164.8497690262</v>
      </c>
      <c r="W6" s="51">
        <f>W30-W88</f>
        <v>-235927.9831023596</v>
      </c>
      <c r="X6" s="51">
        <f>X30-X88</f>
        <v>1091040.696266479</v>
      </c>
      <c r="Y6" s="51">
        <f>Y30-Y88</f>
        <v>1273853.672299489</v>
      </c>
      <c r="Z6" s="51">
        <f>SUMIF($B$13:$Y$13,"Yes",B6:Y6)</f>
        <v>4856086.74462612</v>
      </c>
      <c r="AA6" s="51">
        <f>AA30-AA88</f>
        <v>2360625.19231306</v>
      </c>
      <c r="AB6" s="51">
        <f>AB30-AB88</f>
        <v>4856086.74462612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56963</v>
      </c>
      <c r="I7" s="80">
        <f>IF(ISERROR(VLOOKUP(MONTH(I5),Inputs!$D$66:$D$71,1,0)),"",INDEX(Inputs!$B$66:$B$71,MATCH(MONTH(Output!I5),Inputs!$D$66:$D$71,0))-INDEX(Inputs!$C$66:$C$71,MATCH(MONTH(Output!I5),Inputs!$D$66:$D$71,0)))</f>
        <v>23453</v>
      </c>
      <c r="J7" s="80">
        <f>IF(ISERROR(VLOOKUP(MONTH(J5),Inputs!$D$66:$D$71,1,0)),"",INDEX(Inputs!$B$66:$B$71,MATCH(MONTH(Output!J5),Inputs!$D$66:$D$71,0))-INDEX(Inputs!$C$66:$C$71,MATCH(MONTH(Output!J5),Inputs!$D$66:$D$71,0)))</f>
        <v>1565</v>
      </c>
      <c r="K7" s="80">
        <f>IF(ISERROR(VLOOKUP(MONTH(K5),Inputs!$D$66:$D$71,1,0)),"",INDEX(Inputs!$B$66:$B$71,MATCH(MONTH(Output!K5),Inputs!$D$66:$D$71,0))-INDEX(Inputs!$C$66:$C$71,MATCH(MONTH(Output!K5),Inputs!$D$66:$D$71,0)))</f>
        <v>10174</v>
      </c>
      <c r="L7" s="80">
        <f>IF(ISERROR(VLOOKUP(MONTH(L5),Inputs!$D$66:$D$71,1,0)),"",INDEX(Inputs!$B$66:$B$71,MATCH(MONTH(Output!L5),Inputs!$D$66:$D$71,0))-INDEX(Inputs!$C$66:$C$71,MATCH(MONTH(Output!L5),Inputs!$D$66:$D$71,0)))</f>
        <v>9936</v>
      </c>
      <c r="M7" s="80">
        <f>IF(ISERROR(VLOOKUP(MONTH(M5),Inputs!$D$66:$D$71,1,0)),"",INDEX(Inputs!$B$66:$B$71,MATCH(MONTH(Output!M5),Inputs!$D$66:$D$71,0))-INDEX(Inputs!$C$66:$C$71,MATCH(MONTH(Output!M5),Inputs!$D$66:$D$71,0)))</f>
        <v>23731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56963</v>
      </c>
      <c r="U7" s="80">
        <f>IF(ISERROR(VLOOKUP(MONTH(U5),Inputs!$D$66:$D$71,1,0)),"",INDEX(Inputs!$B$66:$B$71,MATCH(MONTH(Output!U5),Inputs!$D$66:$D$71,0))-INDEX(Inputs!$C$66:$C$71,MATCH(MONTH(Output!U5),Inputs!$D$66:$D$71,0)))</f>
        <v>23453</v>
      </c>
      <c r="V7" s="80">
        <f>IF(ISERROR(VLOOKUP(MONTH(V5),Inputs!$D$66:$D$71,1,0)),"",INDEX(Inputs!$B$66:$B$71,MATCH(MONTH(Output!V5),Inputs!$D$66:$D$71,0))-INDEX(Inputs!$C$66:$C$71,MATCH(MONTH(Output!V5),Inputs!$D$66:$D$71,0)))</f>
        <v>1565</v>
      </c>
      <c r="W7" s="80">
        <f>IF(ISERROR(VLOOKUP(MONTH(W5),Inputs!$D$66:$D$71,1,0)),"",INDEX(Inputs!$B$66:$B$71,MATCH(MONTH(Output!W5),Inputs!$D$66:$D$71,0))-INDEX(Inputs!$C$66:$C$71,MATCH(MONTH(Output!W5),Inputs!$D$66:$D$71,0)))</f>
        <v>10174</v>
      </c>
      <c r="X7" s="80">
        <f>IF(ISERROR(VLOOKUP(MONTH(X5),Inputs!$D$66:$D$71,1,0)),"",INDEX(Inputs!$B$66:$B$71,MATCH(MONTH(Output!X5),Inputs!$D$66:$D$71,0))-INDEX(Inputs!$C$66:$C$71,MATCH(MONTH(Output!X5),Inputs!$D$66:$D$71,0)))</f>
        <v>9936</v>
      </c>
      <c r="Y7" s="80">
        <f>IF(ISERROR(VLOOKUP(MONTH(Y5),Inputs!$D$66:$D$71,1,0)),"",INDEX(Inputs!$B$66:$B$71,MATCH(MONTH(Output!Y5),Inputs!$D$66:$D$71,0))-INDEX(Inputs!$C$66:$C$71,MATCH(MONTH(Output!Y5),Inputs!$D$66:$D$71,0)))</f>
        <v>23731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1600000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1600000</v>
      </c>
      <c r="AA9" s="75">
        <f>SUM(B9:M9)</f>
        <v>1600000</v>
      </c>
      <c r="AB9" s="75">
        <f>SUM(B9:Y9)</f>
        <v>1600000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71111.11111111111</v>
      </c>
      <c r="C10" s="37">
        <f>SUMPRODUCT((Calculations!$D$33:$D$84=Output!C5)+0,Calculations!$C$33:$C$84)</f>
        <v>71111.11111111111</v>
      </c>
      <c r="D10" s="37">
        <f>SUMPRODUCT((Calculations!$D$33:$D$84=Output!D5)+0,Calculations!$C$33:$C$84)</f>
        <v>71111.11111111111</v>
      </c>
      <c r="E10" s="37">
        <f>SUMPRODUCT((Calculations!$D$33:$D$84=Output!E5)+0,Calculations!$C$33:$C$84)</f>
        <v>71111.11111111111</v>
      </c>
      <c r="F10" s="37">
        <f>SUMPRODUCT((Calculations!$D$33:$D$84=Output!F5)+0,Calculations!$C$33:$C$84)</f>
        <v>71111.11111111111</v>
      </c>
      <c r="G10" s="37">
        <f>SUMPRODUCT((Calculations!$D$33:$D$84=Output!G5)+0,Calculations!$C$33:$C$84)</f>
        <v>71111.11111111111</v>
      </c>
      <c r="H10" s="37">
        <f>SUMPRODUCT((Calculations!$D$33:$D$84=Output!H5)+0,Calculations!$C$33:$C$84)</f>
        <v>71111.11111111111</v>
      </c>
      <c r="I10" s="37">
        <f>SUMPRODUCT((Calculations!$D$33:$D$84=Output!I5)+0,Calculations!$C$33:$C$84)</f>
        <v>71111.11111111111</v>
      </c>
      <c r="J10" s="37">
        <f>SUMPRODUCT((Calculations!$D$33:$D$84=Output!J5)+0,Calculations!$C$33:$C$84)</f>
        <v>71111.11111111111</v>
      </c>
      <c r="K10" s="37">
        <f>SUMPRODUCT((Calculations!$D$33:$D$84=Output!K5)+0,Calculations!$C$33:$C$84)</f>
        <v>71111.11111111111</v>
      </c>
      <c r="L10" s="37">
        <f>SUMPRODUCT((Calculations!$D$33:$D$84=Output!L5)+0,Calculations!$C$33:$C$84)</f>
        <v>71111.11111111111</v>
      </c>
      <c r="M10" s="37">
        <f>SUMPRODUCT((Calculations!$D$33:$D$84=Output!M5)+0,Calculations!$C$33:$C$84)</f>
        <v>71111.11111111111</v>
      </c>
      <c r="N10" s="37">
        <f>SUMPRODUCT((Calculations!$D$33:$D$84=Output!N5)+0,Calculations!$C$33:$C$84)</f>
        <v>71111.11111111111</v>
      </c>
      <c r="O10" s="37">
        <f>SUMPRODUCT((Calculations!$D$33:$D$84=Output!O5)+0,Calculations!$C$33:$C$84)</f>
        <v>71111.11111111111</v>
      </c>
      <c r="P10" s="37">
        <f>SUMPRODUCT((Calculations!$D$33:$D$84=Output!P5)+0,Calculations!$C$33:$C$84)</f>
        <v>71111.11111111111</v>
      </c>
      <c r="Q10" s="37">
        <f>SUMPRODUCT((Calculations!$D$33:$D$84=Output!Q5)+0,Calculations!$C$33:$C$84)</f>
        <v>71111.11111111111</v>
      </c>
      <c r="R10" s="37">
        <f>SUMPRODUCT((Calculations!$D$33:$D$84=Output!R5)+0,Calculations!$C$33:$C$84)</f>
        <v>71111.11111111111</v>
      </c>
      <c r="S10" s="37">
        <f>SUMPRODUCT((Calculations!$D$33:$D$84=Output!S5)+0,Calculations!$C$33:$C$84)</f>
        <v>71111.11111111111</v>
      </c>
      <c r="T10" s="37">
        <f>SUMPRODUCT((Calculations!$D$33:$D$84=Output!T5)+0,Calculations!$C$33:$C$84)</f>
        <v>71111.11111111111</v>
      </c>
      <c r="U10" s="37">
        <f>SUMPRODUCT((Calculations!$D$33:$D$84=Output!U5)+0,Calculations!$C$33:$C$84)</f>
        <v>71111.11111111111</v>
      </c>
      <c r="V10" s="37">
        <f>SUMPRODUCT((Calculations!$D$33:$D$84=Output!V5)+0,Calculations!$C$33:$C$84)</f>
        <v>71111.11111111111</v>
      </c>
      <c r="W10" s="37">
        <f>SUMPRODUCT((Calculations!$D$33:$D$84=Output!W5)+0,Calculations!$C$33:$C$84)</f>
        <v>71111.11111111111</v>
      </c>
      <c r="X10" s="37">
        <f>SUMPRODUCT((Calculations!$D$33:$D$84=Output!X5)+0,Calculations!$C$33:$C$84)</f>
        <v>71111.11111111111</v>
      </c>
      <c r="Y10" s="37">
        <f>SUMPRODUCT((Calculations!$D$33:$D$84=Output!Y5)+0,Calculations!$C$33:$C$84)</f>
        <v>71111.11111111111</v>
      </c>
      <c r="Z10" s="37">
        <f>SUMIF($B$13:$Y$13,"Yes",B10:Y10)</f>
        <v>1706666.666666666</v>
      </c>
      <c r="AA10" s="37">
        <f>SUM(B10:M10)</f>
        <v>853333.3333333334</v>
      </c>
      <c r="AB10" s="37">
        <f>SUM(B10:Y10)</f>
        <v>1706666.666666666</v>
      </c>
    </row>
    <row r="11" spans="1:30" customHeight="1" ht="15.75">
      <c r="A11" s="43" t="s">
        <v>31</v>
      </c>
      <c r="B11" s="80">
        <f>B6+B9-B10</f>
        <v>1380842.599119863</v>
      </c>
      <c r="C11" s="80">
        <f>C6+C9-C10</f>
        <v>-530717.4008801373</v>
      </c>
      <c r="D11" s="80">
        <f>D6+D9-D10</f>
        <v>-285457.4008801374</v>
      </c>
      <c r="E11" s="80">
        <f>E6+E9-E10</f>
        <v>-349257.4008801374</v>
      </c>
      <c r="F11" s="80">
        <f>F6+F9-F10</f>
        <v>977711.2784887016</v>
      </c>
      <c r="G11" s="80">
        <f>G6+G9-G10</f>
        <v>1160524.254521711</v>
      </c>
      <c r="H11" s="80">
        <f>H6+H9-H10</f>
        <v>-219157.4008801374</v>
      </c>
      <c r="I11" s="80">
        <f>I6+I9-I10</f>
        <v>-530717.4008801373</v>
      </c>
      <c r="J11" s="80">
        <f>J6+J9-J10</f>
        <v>-285457.4008801374</v>
      </c>
      <c r="K11" s="80">
        <f>K6+K9-K10</f>
        <v>-349257.4008801374</v>
      </c>
      <c r="L11" s="80">
        <f>L6+L9-L10</f>
        <v>977711.2784887016</v>
      </c>
      <c r="M11" s="80">
        <f>M6+M9-M10</f>
        <v>1160524.254521711</v>
      </c>
      <c r="N11" s="80">
        <f>N6+N9-N10</f>
        <v>-219157.4008801374</v>
      </c>
      <c r="O11" s="80">
        <f>O6+O9-O10</f>
        <v>-530717.4008801373</v>
      </c>
      <c r="P11" s="80">
        <f>P6+P9-P10</f>
        <v>-285457.4008801374</v>
      </c>
      <c r="Q11" s="80">
        <f>Q6+Q9-Q10</f>
        <v>-349257.4008801374</v>
      </c>
      <c r="R11" s="80">
        <f>R6+R9-R10</f>
        <v>977711.2784887016</v>
      </c>
      <c r="S11" s="80">
        <f>S6+S9-S10</f>
        <v>1160524.254521711</v>
      </c>
      <c r="T11" s="80">
        <f>T6+T9-T10</f>
        <v>-219157.4008801374</v>
      </c>
      <c r="U11" s="80">
        <f>U6+U9-U10</f>
        <v>-530717.4008801373</v>
      </c>
      <c r="V11" s="80">
        <f>V6+V9-V10</f>
        <v>-277275.9608801373</v>
      </c>
      <c r="W11" s="80">
        <f>W6+W9-W10</f>
        <v>-307039.0942134707</v>
      </c>
      <c r="X11" s="80">
        <f>X6+X9-X10</f>
        <v>1019929.585155368</v>
      </c>
      <c r="Y11" s="80">
        <f>Y6+Y9-Y10</f>
        <v>1202742.561188378</v>
      </c>
      <c r="Z11" s="85">
        <f>SUMIF($B$13:$Y$13,"Yes",B11:Y11)</f>
        <v>4749420.077959454</v>
      </c>
      <c r="AA11" s="80">
        <f>SUM(B11:M11)</f>
        <v>3107291.858979727</v>
      </c>
      <c r="AB11" s="46">
        <f>SUM(B11:Y11)</f>
        <v>4749420.077959454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0.0489761557892909</v>
      </c>
      <c r="C12" s="82">
        <f>IF(C13="Yes",IF(SUM($B$10:C10)/(SUM($B$6:C6)+SUM($B$9:C9))&lt;0,999.99,SUM($B$10:C10)/(SUM($B$6:C6)+SUM($B$9:C9))),"")</f>
        <v>0.1433189821323024</v>
      </c>
      <c r="D12" s="82">
        <f>IF(D13="Yes",IF(SUM($B$10:D10)/(SUM($B$6:D6)+SUM($B$9:D9))&lt;0,999.99,SUM($B$10:D10)/(SUM($B$6:D6)+SUM($B$9:D9))),"")</f>
        <v>0.2742069708090648</v>
      </c>
      <c r="E12" s="82">
        <f>IF(E13="Yes",IF(SUM($B$10:E10)/(SUM($B$6:E6)+SUM($B$9:E9))&lt;0,999.99,SUM($B$10:E10)/(SUM($B$6:E6)+SUM($B$9:E9))),"")</f>
        <v>0.5690540956224374</v>
      </c>
      <c r="F12" s="82">
        <f>IF(F13="Yes",IF(SUM($B$10:F10)/(SUM($B$6:F6)+SUM($B$9:F9))&lt;0,999.99,SUM($B$10:F10)/(SUM($B$6:F6)+SUM($B$9:F9))),"")</f>
        <v>0.2295866101391051</v>
      </c>
      <c r="G12" s="82">
        <f>IF(G13="Yes",IF(SUM($B$10:G10)/(SUM($B$6:G6)+SUM($B$9:G9))&lt;0,999.99,SUM($B$10:G10)/(SUM($B$6:G6)+SUM($B$9:G9))),"")</f>
        <v>0.1534599624720204</v>
      </c>
      <c r="H12" s="82">
        <f>IF(H13="Yes",IF(SUM($B$10:H10)/(SUM($B$6:H6)+SUM($B$9:H9))&lt;0,999.99,SUM($B$10:H10)/(SUM($B$6:H6)+SUM($B$9:H9))),"")</f>
        <v>0.1891061617017478</v>
      </c>
      <c r="I12" s="82">
        <f>IF(I13="Yes",IF(SUM($B$10:I10)/(SUM($B$6:I6)+SUM($B$9:I9))&lt;0,999.99,SUM($B$10:I10)/(SUM($B$6:I6)+SUM($B$9:I9))),"")</f>
        <v>0.2618398113545192</v>
      </c>
      <c r="J12" s="82">
        <f>IF(J13="Yes",IF(SUM($B$10:J10)/(SUM($B$6:J6)+SUM($B$9:J9))&lt;0,999.99,SUM($B$10:J10)/(SUM($B$6:J6)+SUM($B$9:J9))),"")</f>
        <v>0.3268117826195481</v>
      </c>
      <c r="K12" s="82">
        <f>IF(K13="Yes",IF(SUM($B$10:K10)/(SUM($B$6:K6)+SUM($B$9:K9))&lt;0,999.99,SUM($B$10:K10)/(SUM($B$6:K6)+SUM($B$9:K9))),"")</f>
        <v>0.4232382412712312</v>
      </c>
      <c r="L12" s="82">
        <f>IF(L13="Yes",IF(SUM($B$10:L10)/(SUM($B$6:L6)+SUM($B$9:L9))&lt;0,999.99,SUM($B$10:L10)/(SUM($B$6:L6)+SUM($B$9:L9))),"")</f>
        <v>0.2866343489355473</v>
      </c>
      <c r="M12" s="82">
        <f>IF(M13="Yes",IF(SUM($B$10:M10)/(SUM($B$6:M6)+SUM($B$9:M9))&lt;0,999.99,SUM($B$10:M10)/(SUM($B$6:M6)+SUM($B$9:M9))),"")</f>
        <v>0.2154542002584635</v>
      </c>
      <c r="N12" s="82">
        <f>IF(N13="Yes",IF(SUM($B$10:N10)/(SUM($B$6:N6)+SUM($B$9:N9))&lt;0,999.99,SUM($B$10:N10)/(SUM($B$6:N6)+SUM($B$9:N9))),"")</f>
        <v>0.242472213185565</v>
      </c>
      <c r="O12" s="82">
        <f>IF(O13="Yes",IF(SUM($B$10:O10)/(SUM($B$6:O6)+SUM($B$9:O9))&lt;0,999.99,SUM($B$10:O10)/(SUM($B$6:O6)+SUM($B$9:O9))),"")</f>
        <v>0.2969172941533835</v>
      </c>
      <c r="P12" s="82">
        <f>IF(P13="Yes",IF(SUM($B$10:P10)/(SUM($B$6:P6)+SUM($B$9:P9))&lt;0,999.99,SUM($B$10:P10)/(SUM($B$6:P6)+SUM($B$9:P9))),"")</f>
        <v>0.3398514371870429</v>
      </c>
      <c r="Q12" s="82">
        <f>IF(Q13="Yes",IF(SUM($B$10:Q10)/(SUM($B$6:Q6)+SUM($B$9:Q9))&lt;0,999.99,SUM($B$10:Q10)/(SUM($B$6:Q6)+SUM($B$9:Q9))),"")</f>
        <v>0.3977576366754967</v>
      </c>
      <c r="R12" s="82">
        <f>IF(R13="Yes",IF(SUM($B$10:R10)/(SUM($B$6:R6)+SUM($B$9:R9))&lt;0,999.99,SUM($B$10:R10)/(SUM($B$6:R6)+SUM($B$9:R9))),"")</f>
        <v>0.3092339139144073</v>
      </c>
      <c r="S12" s="82">
        <f>IF(S13="Yes",IF(SUM($B$10:S10)/(SUM($B$6:S6)+SUM($B$9:S9))&lt;0,999.99,SUM($B$10:S10)/(SUM($B$6:S6)+SUM($B$9:S9))),"")</f>
        <v>0.2489818108421507</v>
      </c>
      <c r="T12" s="82">
        <f>IF(T13="Yes",IF(SUM($B$10:T10)/(SUM($B$6:T6)+SUM($B$9:T9))&lt;0,999.99,SUM($B$10:T10)/(SUM($B$6:T6)+SUM($B$9:T9))),"")</f>
        <v>0.2706069441850974</v>
      </c>
      <c r="U12" s="82">
        <f>IF(U13="Yes",IF(SUM($B$10:U10)/(SUM($B$6:U6)+SUM($B$9:U9))&lt;0,999.99,SUM($B$10:U10)/(SUM($B$6:U6)+SUM($B$9:U9))),"")</f>
        <v>0.313728820639862</v>
      </c>
      <c r="V12" s="82">
        <f>IF(V13="Yes",IF(SUM($B$10:V10)/(SUM($B$6:V6)+SUM($B$9:V9))&lt;0,999.99,SUM($B$10:V10)/(SUM($B$6:V6)+SUM($B$9:V9))),"")</f>
        <v>0.34511019093131</v>
      </c>
      <c r="W12" s="82">
        <f>IF(W13="Yes",IF(SUM($B$10:W10)/(SUM($B$6:W6)+SUM($B$9:W9))&lt;0,999.99,SUM($B$10:W10)/(SUM($B$6:W6)+SUM($B$9:W9))),"")</f>
        <v>0.3823932733153496</v>
      </c>
      <c r="X12" s="82">
        <f>IF(X13="Yes",IF(SUM($B$10:X10)/(SUM($B$6:X6)+SUM($B$9:X9))&lt;0,999.99,SUM($B$10:X10)/(SUM($B$6:X6)+SUM($B$9:X9))),"")</f>
        <v>0.3156082585882713</v>
      </c>
      <c r="Y12" s="82">
        <f>IF(Y13="Yes",IF(SUM($B$10:Y10)/(SUM($B$6:Y6)+SUM($B$9:Y9))&lt;0,999.99,SUM($B$10:Y10)/(SUM($B$6:Y6)+SUM($B$9:Y9))),"")</f>
        <v>0.2643500210227583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1263168.679368839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1263168.679368839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1263168.679368839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1263168.679368839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5052674.717475356</v>
      </c>
      <c r="AA18" s="36">
        <f>SUM(B18:M18)</f>
        <v>2526337.358737678</v>
      </c>
      <c r="AB18" s="36">
        <f>SUM(B18:Y18)</f>
        <v>5052674.717475356</v>
      </c>
      <c r="AC18" s="43"/>
      <c r="AD18" s="43"/>
    </row>
    <row r="19" spans="1:30">
      <c r="A19" t="str">
        <f>IF(Calculations!A5&lt;&gt;Parameters!$A$18,IF(Calculations!A5=0,"",Calculations!A5),Inputs!B8)</f>
        <v>Potatoes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670948.3550891418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670948.3550891418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670948.3550891418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670948.3550891418</v>
      </c>
      <c r="Z19" s="36">
        <f>SUMIF($B$13:$Y$13,"Yes",B19:Y19)</f>
        <v>2683793.420356567</v>
      </c>
      <c r="AA19" s="36">
        <f>SUM(B19:M19)</f>
        <v>1341896.710178284</v>
      </c>
      <c r="AB19" s="36">
        <f>SUM(B19:Y19)</f>
        <v>2683793.420356567</v>
      </c>
      <c r="AC19" s="43"/>
      <c r="AD19" s="43"/>
    </row>
    <row r="20" spans="1:30">
      <c r="A20" t="str">
        <f>IF(Calculations!A6&lt;&gt;Parameters!$A$18,IF(Calculations!A6=0,"",Calculations!A6),Inputs!B9)</f>
        <v>Carrots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737533.3003127071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737533.3003127071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737533.3003127071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737533.3003127071</v>
      </c>
      <c r="Z20" s="36">
        <f>SUMIF($B$13:$Y$13,"Yes",B20:Y20)</f>
        <v>2950133.201250828</v>
      </c>
      <c r="AA20" s="36">
        <f>SUM(B20:M20)</f>
        <v>1475066.600625414</v>
      </c>
      <c r="AB20" s="36">
        <f>SUM(B20:Y20)</f>
        <v>2950133.201250828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3600000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150000</v>
      </c>
      <c r="C30" s="19">
        <f>SUM(C18:C29)</f>
        <v>150000</v>
      </c>
      <c r="D30" s="19">
        <f>SUM(D18:D29)</f>
        <v>150000</v>
      </c>
      <c r="E30" s="19">
        <f>SUM(E18:E29)</f>
        <v>150000</v>
      </c>
      <c r="F30" s="19">
        <f>SUM(F18:F29)</f>
        <v>1413168.679368839</v>
      </c>
      <c r="G30" s="19">
        <f>SUM(G18:G29)</f>
        <v>1558481.655401849</v>
      </c>
      <c r="H30" s="19">
        <f>SUM(H18:H29)</f>
        <v>150000</v>
      </c>
      <c r="I30" s="19">
        <f>SUM(I18:I29)</f>
        <v>150000</v>
      </c>
      <c r="J30" s="19">
        <f>SUM(J18:J29)</f>
        <v>150000</v>
      </c>
      <c r="K30" s="19">
        <f>SUM(K18:K29)</f>
        <v>150000</v>
      </c>
      <c r="L30" s="19">
        <f>SUM(L18:L29)</f>
        <v>1413168.679368839</v>
      </c>
      <c r="M30" s="19">
        <f>SUM(M18:M29)</f>
        <v>1558481.655401849</v>
      </c>
      <c r="N30" s="19">
        <f>SUM(N18:N29)</f>
        <v>150000</v>
      </c>
      <c r="O30" s="19">
        <f>SUM(O18:O29)</f>
        <v>150000</v>
      </c>
      <c r="P30" s="19">
        <f>SUM(P18:P29)</f>
        <v>150000</v>
      </c>
      <c r="Q30" s="19">
        <f>SUM(Q18:Q29)</f>
        <v>150000</v>
      </c>
      <c r="R30" s="19">
        <f>SUM(R18:R29)</f>
        <v>1413168.679368839</v>
      </c>
      <c r="S30" s="19">
        <f>SUM(S18:S29)</f>
        <v>1558481.655401849</v>
      </c>
      <c r="T30" s="19">
        <f>SUM(T18:T29)</f>
        <v>150000</v>
      </c>
      <c r="U30" s="19">
        <f>SUM(U18:U29)</f>
        <v>150000</v>
      </c>
      <c r="V30" s="19">
        <f>SUM(V18:V29)</f>
        <v>150000</v>
      </c>
      <c r="W30" s="19">
        <f>SUM(W18:W29)</f>
        <v>150000</v>
      </c>
      <c r="X30" s="19">
        <f>SUM(X18:X29)</f>
        <v>1413168.679368839</v>
      </c>
      <c r="Y30" s="19">
        <f>SUM(Y18:Y29)</f>
        <v>1558481.655401849</v>
      </c>
      <c r="Z30" s="19">
        <f>SUMIF($B$13:$Y$13,"Yes",B30:Y30)</f>
        <v>14286601.33908275</v>
      </c>
      <c r="AA30" s="19">
        <f>SUM(B30:M30)</f>
        <v>7143300.669541376</v>
      </c>
      <c r="AB30" s="19">
        <f>SUM(B30:Y30)</f>
        <v>14286601.33908275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40000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40000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40000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40000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160000</v>
      </c>
      <c r="AA36" s="36">
        <f>SUM(B36:M36)</f>
        <v>80000</v>
      </c>
      <c r="AB36" s="36">
        <f>SUM(B36:Y36)</f>
        <v>160000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20000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20000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20000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20000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80000</v>
      </c>
      <c r="AA37" s="36">
        <f>SUM(B37:M37)</f>
        <v>40000</v>
      </c>
      <c r="AB37" s="36">
        <f>SUM(B37:Y37)</f>
        <v>80000</v>
      </c>
      <c r="AC37" s="73"/>
    </row>
    <row r="38" spans="1:30" hidden="true" outlineLevel="1">
      <c r="A38" s="181" t="str">
        <f>Calculations!$A$5</f>
        <v>Potatoes</v>
      </c>
      <c r="B38" s="36">
        <f>N38</f>
        <v>0</v>
      </c>
      <c r="C38" s="36">
        <f>O38</f>
        <v>14000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14000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14000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14000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56000</v>
      </c>
      <c r="AA38" s="36">
        <f>SUM(B38:M38)</f>
        <v>28000</v>
      </c>
      <c r="AB38" s="36">
        <f>SUM(B38:Y38)</f>
        <v>56000</v>
      </c>
      <c r="AC38" s="73"/>
    </row>
    <row r="39" spans="1:30" hidden="true" outlineLevel="1">
      <c r="A39" s="181" t="str">
        <f>Calculations!$A$6</f>
        <v>Carrots</v>
      </c>
      <c r="B39" s="36">
        <f>N39</f>
        <v>0</v>
      </c>
      <c r="C39" s="36">
        <f>O39</f>
        <v>6000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6000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6000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6000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24000</v>
      </c>
      <c r="AA39" s="36">
        <f>SUM(B39:M39)</f>
        <v>12000</v>
      </c>
      <c r="AB39" s="36">
        <f>SUM(B39:Y39)</f>
        <v>24000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205260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205260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205260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205260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821040</v>
      </c>
      <c r="AA42" s="36">
        <f>SUM(B42:M42)</f>
        <v>410520</v>
      </c>
      <c r="AB42" s="36">
        <f>SUM(B42:Y42)</f>
        <v>821040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6060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6060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6060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6060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24240</v>
      </c>
      <c r="AA43" s="36">
        <f>SUM(B43:M43)</f>
        <v>12120</v>
      </c>
      <c r="AB43" s="36">
        <f>SUM(B43:Y43)</f>
        <v>24240</v>
      </c>
    </row>
    <row r="44" spans="1:30" hidden="true" outlineLevel="1">
      <c r="A44" s="181" t="str">
        <f>Calculations!$A$5</f>
        <v>Potatoes</v>
      </c>
      <c r="B44" s="36">
        <f>N44</f>
        <v>0</v>
      </c>
      <c r="C44" s="36">
        <f>O44</f>
        <v>168000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168000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168000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168000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672000</v>
      </c>
      <c r="AA44" s="36">
        <f>SUM(B44:M44)</f>
        <v>336000</v>
      </c>
      <c r="AB44" s="36">
        <f>SUM(B44:Y44)</f>
        <v>672000</v>
      </c>
    </row>
    <row r="45" spans="1:30" hidden="true" outlineLevel="1">
      <c r="A45" s="181" t="str">
        <f>Calculations!$A$6</f>
        <v>Carrots</v>
      </c>
      <c r="B45" s="36">
        <f>N45</f>
        <v>0</v>
      </c>
      <c r="C45" s="36">
        <f>O45</f>
        <v>31200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31200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31200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31200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124800</v>
      </c>
      <c r="AA45" s="36">
        <f>SUM(B45:M45)</f>
        <v>62400</v>
      </c>
      <c r="AB45" s="36">
        <f>SUM(B45:Y45)</f>
        <v>124800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63800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63800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63800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63800</v>
      </c>
      <c r="X48" s="46">
        <f>SUM(X49:X53)</f>
        <v>0</v>
      </c>
      <c r="Y48" s="46">
        <f>SUM(Y49:Y53)</f>
        <v>0</v>
      </c>
      <c r="Z48" s="46">
        <f>SUMIF($B$13:$Y$13,"Yes",B48:Y48)</f>
        <v>255200</v>
      </c>
      <c r="AA48" s="46">
        <f>SUM(B48:M48)</f>
        <v>127600</v>
      </c>
      <c r="AB48" s="46">
        <f>SUM(B48:Y48)</f>
        <v>255200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28000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28000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28000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28000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112000</v>
      </c>
      <c r="AA49" s="46">
        <f>SUM(B49:M49)</f>
        <v>56000</v>
      </c>
      <c r="AB49" s="46">
        <f>SUM(B49:Y49)</f>
        <v>112000</v>
      </c>
    </row>
    <row r="50" spans="1:30" hidden="true" outlineLevel="1">
      <c r="A50" s="181" t="str">
        <f>Calculations!$A$5</f>
        <v>Potatoes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30100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30100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30100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30100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120400</v>
      </c>
      <c r="AA50" s="46">
        <f>SUM(B50:M50)</f>
        <v>60200</v>
      </c>
      <c r="AB50" s="46">
        <f>SUM(B50:Y50)</f>
        <v>120400</v>
      </c>
    </row>
    <row r="51" spans="1:30" hidden="true" outlineLevel="1">
      <c r="A51" s="181" t="str">
        <f>Calculations!$A$6</f>
        <v>Carrots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5700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5700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5700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5700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22800</v>
      </c>
      <c r="AA51" s="46">
        <f>SUM(B51:M51)</f>
        <v>11400</v>
      </c>
      <c r="AB51" s="46">
        <f>SUM(B51:Y51)</f>
        <v>22800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Potatoes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Carrots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Potatoes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Carrots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66300</v>
      </c>
      <c r="D66" s="36">
        <f>P66</f>
        <v>66300</v>
      </c>
      <c r="E66" s="36">
        <f>Q66</f>
        <v>66300</v>
      </c>
      <c r="F66" s="36">
        <f>R66</f>
        <v>66300</v>
      </c>
      <c r="G66" s="36">
        <f>S66</f>
        <v>28800</v>
      </c>
      <c r="H66" s="36">
        <f>T66</f>
        <v>0</v>
      </c>
      <c r="I66" s="36">
        <f>U66</f>
        <v>66300</v>
      </c>
      <c r="J66" s="36">
        <f>V66</f>
        <v>66300</v>
      </c>
      <c r="K66" s="36">
        <f>W66</f>
        <v>66300</v>
      </c>
      <c r="L66" s="36">
        <f>X66</f>
        <v>66300</v>
      </c>
      <c r="M66" s="36">
        <f>Y66</f>
        <v>28800</v>
      </c>
      <c r="N66" s="46">
        <f>SUM(N67:N71)</f>
        <v>0</v>
      </c>
      <c r="O66" s="46">
        <f>SUM(O67:O71)</f>
        <v>66300</v>
      </c>
      <c r="P66" s="46">
        <f>SUM(P67:P71)</f>
        <v>66300</v>
      </c>
      <c r="Q66" s="46">
        <f>SUM(Q67:Q71)</f>
        <v>66300</v>
      </c>
      <c r="R66" s="46">
        <f>SUM(R67:R71)</f>
        <v>66300</v>
      </c>
      <c r="S66" s="46">
        <f>SUM(S67:S71)</f>
        <v>28800</v>
      </c>
      <c r="T66" s="46">
        <f>SUM(T67:T71)</f>
        <v>0</v>
      </c>
      <c r="U66" s="46">
        <f>SUM(U67:U71)</f>
        <v>66300</v>
      </c>
      <c r="V66" s="46">
        <f>SUM(V67:V71)</f>
        <v>66300</v>
      </c>
      <c r="W66" s="46">
        <f>SUM(W67:W71)</f>
        <v>66300</v>
      </c>
      <c r="X66" s="46">
        <f>SUM(X67:X71)</f>
        <v>66300</v>
      </c>
      <c r="Y66" s="46">
        <f>SUM(Y67:Y71)</f>
        <v>28800</v>
      </c>
      <c r="Z66" s="46">
        <f>SUMIF($B$13:$Y$13,"Yes",B66:Y66)</f>
        <v>1176000</v>
      </c>
      <c r="AA66" s="46">
        <f>SUM(B66:M66)</f>
        <v>588000</v>
      </c>
      <c r="AB66" s="46">
        <f>SUM(B66:Y66)</f>
        <v>1176000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37500</v>
      </c>
      <c r="D67" s="36">
        <f>P67</f>
        <v>37500</v>
      </c>
      <c r="E67" s="36">
        <f>Q67</f>
        <v>37500</v>
      </c>
      <c r="F67" s="36">
        <f>R67</f>
        <v>37500</v>
      </c>
      <c r="G67" s="36">
        <f>S67</f>
        <v>0</v>
      </c>
      <c r="H67" s="36">
        <f>T67</f>
        <v>0</v>
      </c>
      <c r="I67" s="36">
        <f>U67</f>
        <v>37500</v>
      </c>
      <c r="J67" s="36">
        <f>V67</f>
        <v>37500</v>
      </c>
      <c r="K67" s="36">
        <f>W67</f>
        <v>37500</v>
      </c>
      <c r="L67" s="36">
        <f>X67</f>
        <v>37500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37500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37500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37500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37500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37500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37500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37500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37500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600000</v>
      </c>
      <c r="AA67" s="46">
        <f>SUM(B67:M67)</f>
        <v>300000</v>
      </c>
      <c r="AB67" s="46">
        <f>SUM(B67:Y67)</f>
        <v>600000</v>
      </c>
    </row>
    <row r="68" spans="1:30" hidden="true" outlineLevel="1">
      <c r="A68" s="181" t="str">
        <f>Calculations!$A$5</f>
        <v>Potatoes</v>
      </c>
      <c r="B68" s="36">
        <f>N68</f>
        <v>0</v>
      </c>
      <c r="C68" s="36">
        <f>O68</f>
        <v>16800</v>
      </c>
      <c r="D68" s="36">
        <f>P68</f>
        <v>16800</v>
      </c>
      <c r="E68" s="36">
        <f>Q68</f>
        <v>16800</v>
      </c>
      <c r="F68" s="36">
        <f>R68</f>
        <v>16800</v>
      </c>
      <c r="G68" s="36">
        <f>S68</f>
        <v>16800</v>
      </c>
      <c r="H68" s="36">
        <f>T68</f>
        <v>0</v>
      </c>
      <c r="I68" s="36">
        <f>U68</f>
        <v>16800</v>
      </c>
      <c r="J68" s="36">
        <f>V68</f>
        <v>16800</v>
      </c>
      <c r="K68" s="36">
        <f>W68</f>
        <v>16800</v>
      </c>
      <c r="L68" s="36">
        <f>X68</f>
        <v>16800</v>
      </c>
      <c r="M68" s="36">
        <f>Y68</f>
        <v>16800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16800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16800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16800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16800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16800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16800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16800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16800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16800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16800</v>
      </c>
      <c r="Z68" s="46">
        <f>SUMIF($B$13:$Y$13,"Yes",B68:Y68)</f>
        <v>336000</v>
      </c>
      <c r="AA68" s="46">
        <f>SUM(B68:M68)</f>
        <v>168000</v>
      </c>
      <c r="AB68" s="46">
        <f>SUM(B68:Y68)</f>
        <v>336000</v>
      </c>
    </row>
    <row r="69" spans="1:30" hidden="true" outlineLevel="1">
      <c r="A69" s="181" t="str">
        <f>Calculations!$A$6</f>
        <v>Carrots</v>
      </c>
      <c r="B69" s="36">
        <f>N69</f>
        <v>0</v>
      </c>
      <c r="C69" s="36">
        <f>O69</f>
        <v>12000</v>
      </c>
      <c r="D69" s="36">
        <f>P69</f>
        <v>12000</v>
      </c>
      <c r="E69" s="36">
        <f>Q69</f>
        <v>12000</v>
      </c>
      <c r="F69" s="36">
        <f>R69</f>
        <v>12000</v>
      </c>
      <c r="G69" s="36">
        <f>S69</f>
        <v>12000</v>
      </c>
      <c r="H69" s="36">
        <f>T69</f>
        <v>0</v>
      </c>
      <c r="I69" s="36">
        <f>U69</f>
        <v>12000</v>
      </c>
      <c r="J69" s="36">
        <f>V69</f>
        <v>12000</v>
      </c>
      <c r="K69" s="36">
        <f>W69</f>
        <v>12000</v>
      </c>
      <c r="L69" s="36">
        <f>X69</f>
        <v>12000</v>
      </c>
      <c r="M69" s="36">
        <f>Y69</f>
        <v>12000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12000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12000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12000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12000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12000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12000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12000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12000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12000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12000</v>
      </c>
      <c r="Z69" s="46">
        <f>SUMIF($B$13:$Y$13,"Yes",B69:Y69)</f>
        <v>240000</v>
      </c>
      <c r="AA69" s="46">
        <f>SUM(B69:M69)</f>
        <v>120000</v>
      </c>
      <c r="AB69" s="46">
        <f>SUM(B69:Y69)</f>
        <v>240000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50000</v>
      </c>
      <c r="C79" s="46">
        <f>Inputs!$B$31</f>
        <v>50000</v>
      </c>
      <c r="D79" s="46">
        <f>Inputs!$B$31</f>
        <v>50000</v>
      </c>
      <c r="E79" s="46">
        <f>Inputs!$B$31</f>
        <v>50000</v>
      </c>
      <c r="F79" s="46">
        <f>Inputs!$B$31</f>
        <v>50000</v>
      </c>
      <c r="G79" s="46">
        <f>Inputs!$B$31</f>
        <v>50000</v>
      </c>
      <c r="H79" s="46">
        <f>Inputs!$B$31</f>
        <v>50000</v>
      </c>
      <c r="I79" s="46">
        <f>Inputs!$B$31</f>
        <v>50000</v>
      </c>
      <c r="J79" s="46">
        <f>Inputs!$B$31</f>
        <v>50000</v>
      </c>
      <c r="K79" s="46">
        <f>Inputs!$B$31</f>
        <v>50000</v>
      </c>
      <c r="L79" s="46">
        <f>Inputs!$B$31</f>
        <v>50000</v>
      </c>
      <c r="M79" s="46">
        <f>Inputs!$B$31</f>
        <v>50000</v>
      </c>
      <c r="N79" s="46">
        <f>Inputs!$B$31</f>
        <v>50000</v>
      </c>
      <c r="O79" s="46">
        <f>Inputs!$B$31</f>
        <v>50000</v>
      </c>
      <c r="P79" s="46">
        <f>Inputs!$B$31</f>
        <v>50000</v>
      </c>
      <c r="Q79" s="46">
        <f>Inputs!$B$31</f>
        <v>50000</v>
      </c>
      <c r="R79" s="46">
        <f>Inputs!$B$31</f>
        <v>50000</v>
      </c>
      <c r="S79" s="46">
        <f>Inputs!$B$31</f>
        <v>50000</v>
      </c>
      <c r="T79" s="46">
        <f>Inputs!$B$31</f>
        <v>50000</v>
      </c>
      <c r="U79" s="46">
        <f>Inputs!$B$31</f>
        <v>50000</v>
      </c>
      <c r="V79" s="46">
        <f>Inputs!$B$31</f>
        <v>50000</v>
      </c>
      <c r="W79" s="46">
        <f>Inputs!$B$31</f>
        <v>50000</v>
      </c>
      <c r="X79" s="46">
        <f>Inputs!$B$31</f>
        <v>50000</v>
      </c>
      <c r="Y79" s="46">
        <f>Inputs!$B$31</f>
        <v>50000</v>
      </c>
      <c r="Z79" s="46">
        <f>SUMIF($B$13:$Y$13,"Yes",B79:Y79)</f>
        <v>1200000</v>
      </c>
      <c r="AA79" s="46">
        <f>SUM(B79:M79)</f>
        <v>600000</v>
      </c>
      <c r="AB79" s="46">
        <f>SUM(B79:Y79)</f>
        <v>1200000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177906.0223180459</v>
      </c>
      <c r="C81" s="46">
        <f>(SUM($AA$18:$AA$29)-SUM($AA$36,$AA$42,$AA$48,$AA$54,$AA$60,$AA$66,$AA$72:$AA$79))*Parameters!$B$37/12</f>
        <v>177906.0223180459</v>
      </c>
      <c r="D81" s="46">
        <f>(SUM($AA$18:$AA$29)-SUM($AA$36,$AA$42,$AA$48,$AA$54,$AA$60,$AA$66,$AA$72:$AA$79))*Parameters!$B$37/12</f>
        <v>177906.0223180459</v>
      </c>
      <c r="E81" s="46">
        <f>(SUM($AA$18:$AA$29)-SUM($AA$36,$AA$42,$AA$48,$AA$54,$AA$60,$AA$66,$AA$72:$AA$79))*Parameters!$B$37/12</f>
        <v>177906.0223180459</v>
      </c>
      <c r="F81" s="46">
        <f>(SUM($AA$18:$AA$29)-SUM($AA$36,$AA$42,$AA$48,$AA$54,$AA$60,$AA$66,$AA$72:$AA$79))*Parameters!$B$37/12</f>
        <v>177906.0223180459</v>
      </c>
      <c r="G81" s="46">
        <f>(SUM($AA$18:$AA$29)-SUM($AA$36,$AA$42,$AA$48,$AA$54,$AA$60,$AA$66,$AA$72:$AA$79))*Parameters!$B$37/12</f>
        <v>177906.0223180459</v>
      </c>
      <c r="H81" s="46">
        <f>(SUM($AA$18:$AA$29)-SUM($AA$36,$AA$42,$AA$48,$AA$54,$AA$60,$AA$66,$AA$72:$AA$79))*Parameters!$B$37/12</f>
        <v>177906.0223180459</v>
      </c>
      <c r="I81" s="46">
        <f>(SUM($AA$18:$AA$29)-SUM($AA$36,$AA$42,$AA$48,$AA$54,$AA$60,$AA$66,$AA$72:$AA$79))*Parameters!$B$37/12</f>
        <v>177906.0223180459</v>
      </c>
      <c r="J81" s="46">
        <f>(SUM($AA$18:$AA$29)-SUM($AA$36,$AA$42,$AA$48,$AA$54,$AA$60,$AA$66,$AA$72:$AA$79))*Parameters!$B$37/12</f>
        <v>177906.0223180459</v>
      </c>
      <c r="K81" s="46">
        <f>(SUM($AA$18:$AA$29)-SUM($AA$36,$AA$42,$AA$48,$AA$54,$AA$60,$AA$66,$AA$72:$AA$79))*Parameters!$B$37/12</f>
        <v>177906.0223180459</v>
      </c>
      <c r="L81" s="46">
        <f>(SUM($AA$18:$AA$29)-SUM($AA$36,$AA$42,$AA$48,$AA$54,$AA$60,$AA$66,$AA$72:$AA$79))*Parameters!$B$37/12</f>
        <v>177906.0223180459</v>
      </c>
      <c r="M81" s="46">
        <f>(SUM($AA$18:$AA$29)-SUM($AA$36,$AA$42,$AA$48,$AA$54,$AA$60,$AA$66,$AA$72:$AA$79))*Parameters!$B$37/12</f>
        <v>177906.0223180459</v>
      </c>
      <c r="N81" s="46">
        <f>(SUM($AA$18:$AA$29)-SUM($AA$36,$AA$42,$AA$48,$AA$54,$AA$60,$AA$66,$AA$72:$AA$79))*Parameters!$B$37/12</f>
        <v>177906.0223180459</v>
      </c>
      <c r="O81" s="46">
        <f>(SUM($AA$18:$AA$29)-SUM($AA$36,$AA$42,$AA$48,$AA$54,$AA$60,$AA$66,$AA$72:$AA$79))*Parameters!$B$37/12</f>
        <v>177906.0223180459</v>
      </c>
      <c r="P81" s="46">
        <f>(SUM($AA$18:$AA$29)-SUM($AA$36,$AA$42,$AA$48,$AA$54,$AA$60,$AA$66,$AA$72:$AA$79))*Parameters!$B$37/12</f>
        <v>177906.0223180459</v>
      </c>
      <c r="Q81" s="46">
        <f>(SUM($AA$18:$AA$29)-SUM($AA$36,$AA$42,$AA$48,$AA$54,$AA$60,$AA$66,$AA$72:$AA$79))*Parameters!$B$37/12</f>
        <v>177906.0223180459</v>
      </c>
      <c r="R81" s="46">
        <f>(SUM($AA$18:$AA$29)-SUM($AA$36,$AA$42,$AA$48,$AA$54,$AA$60,$AA$66,$AA$72:$AA$79))*Parameters!$B$37/12</f>
        <v>177906.0223180459</v>
      </c>
      <c r="S81" s="46">
        <f>(SUM($AA$18:$AA$29)-SUM($AA$36,$AA$42,$AA$48,$AA$54,$AA$60,$AA$66,$AA$72:$AA$79))*Parameters!$B$37/12</f>
        <v>177906.0223180459</v>
      </c>
      <c r="T81" s="46">
        <f>(SUM($AA$18:$AA$29)-SUM($AA$36,$AA$42,$AA$48,$AA$54,$AA$60,$AA$66,$AA$72:$AA$79))*Parameters!$B$37/12</f>
        <v>177906.0223180459</v>
      </c>
      <c r="U81" s="46">
        <f>(SUM($AA$18:$AA$29)-SUM($AA$36,$AA$42,$AA$48,$AA$54,$AA$60,$AA$66,$AA$72:$AA$79))*Parameters!$B$37/12</f>
        <v>177906.0223180459</v>
      </c>
      <c r="V81" s="46">
        <f>(SUM($AA$18:$AA$29)-SUM($AA$36,$AA$42,$AA$48,$AA$54,$AA$60,$AA$66,$AA$72:$AA$79))*Parameters!$B$37/12</f>
        <v>177906.0223180459</v>
      </c>
      <c r="W81" s="46">
        <f>(SUM($AA$18:$AA$29)-SUM($AA$36,$AA$42,$AA$48,$AA$54,$AA$60,$AA$66,$AA$72:$AA$79))*Parameters!$B$37/12</f>
        <v>177906.0223180459</v>
      </c>
      <c r="X81" s="46">
        <f>(SUM($AA$18:$AA$29)-SUM($AA$36,$AA$42,$AA$48,$AA$54,$AA$60,$AA$66,$AA$72:$AA$79))*Parameters!$B$37/12</f>
        <v>177906.0223180459</v>
      </c>
      <c r="Y81" s="46">
        <f>(SUM($AA$18:$AA$29)-SUM($AA$36,$AA$42,$AA$48,$AA$54,$AA$60,$AA$66,$AA$72:$AA$79))*Parameters!$B$37/12</f>
        <v>177906.0223180459</v>
      </c>
      <c r="Z81" s="46">
        <f>SUMIF($B$13:$Y$13,"Yes",B81:Y81)</f>
        <v>4269744.535633103</v>
      </c>
      <c r="AA81" s="46">
        <f>SUM(B81:M81)</f>
        <v>2134872.267816551</v>
      </c>
      <c r="AB81" s="46">
        <f>SUM(B81:Y81)</f>
        <v>4269744.535633103</v>
      </c>
    </row>
    <row r="82" spans="1:30">
      <c r="A82" s="16" t="s">
        <v>52</v>
      </c>
      <c r="B82" s="46">
        <f>SUM(B83:B87)</f>
        <v>70140.26745098039</v>
      </c>
      <c r="C82" s="46">
        <f>SUM(C83:C87)</f>
        <v>70140.26745098039</v>
      </c>
      <c r="D82" s="46">
        <f>SUM(D83:D87)</f>
        <v>70140.26745098039</v>
      </c>
      <c r="E82" s="46">
        <f>SUM(E83:E87)</f>
        <v>70140.26745098039</v>
      </c>
      <c r="F82" s="46">
        <f>SUM(F83:F87)</f>
        <v>70140.26745098039</v>
      </c>
      <c r="G82" s="46">
        <f>SUM(G83:G87)</f>
        <v>70140.26745098039</v>
      </c>
      <c r="H82" s="46">
        <f>SUM(H83:H87)</f>
        <v>70140.26745098039</v>
      </c>
      <c r="I82" s="46">
        <f>SUM(I83:I87)</f>
        <v>70140.26745098039</v>
      </c>
      <c r="J82" s="46">
        <f>SUM(J83:J87)</f>
        <v>70140.26745098039</v>
      </c>
      <c r="K82" s="46">
        <f>SUM(K83:K87)</f>
        <v>70140.26745098039</v>
      </c>
      <c r="L82" s="46">
        <f>SUM(L83:L87)</f>
        <v>70140.26745098039</v>
      </c>
      <c r="M82" s="46">
        <f>SUM(M83:M87)</f>
        <v>70140.26745098039</v>
      </c>
      <c r="N82" s="46">
        <f>SUM(N83:N87)</f>
        <v>70140.26745098039</v>
      </c>
      <c r="O82" s="46">
        <f>SUM(O83:O87)</f>
        <v>70140.26745098039</v>
      </c>
      <c r="P82" s="46">
        <f>SUM(P83:P87)</f>
        <v>70140.26745098039</v>
      </c>
      <c r="Q82" s="46">
        <f>SUM(Q83:Q87)</f>
        <v>70140.26745098039</v>
      </c>
      <c r="R82" s="46">
        <f>SUM(R83:R87)</f>
        <v>70140.26745098039</v>
      </c>
      <c r="S82" s="46">
        <f>SUM(S83:S87)</f>
        <v>70140.26745098039</v>
      </c>
      <c r="T82" s="46">
        <f>SUM(T83:T87)</f>
        <v>70140.26745098039</v>
      </c>
      <c r="U82" s="46">
        <f>SUM(U83:U87)</f>
        <v>70140.26745098039</v>
      </c>
      <c r="V82" s="46">
        <f>SUM(V83:V87)</f>
        <v>61958.82745098035</v>
      </c>
      <c r="W82" s="46">
        <f>SUM(W83:W87)</f>
        <v>27921.96078431373</v>
      </c>
      <c r="X82" s="46">
        <f>SUM(X83:X87)</f>
        <v>27921.96078431373</v>
      </c>
      <c r="Y82" s="46">
        <f>SUM(Y83:Y87)</f>
        <v>27921.96078431373</v>
      </c>
      <c r="Z82" s="46">
        <f>SUMIF($B$13:$Y$13,"Yes",B82:Y82)</f>
        <v>1548530.058823529</v>
      </c>
      <c r="AA82" s="46">
        <f>SUM(B82:M82)</f>
        <v>841683.2094117646</v>
      </c>
      <c r="AB82" s="46">
        <f>SUM(B82:Y82)</f>
        <v>1548530.058823529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42218.30666666666</v>
      </c>
      <c r="C83" s="46">
        <f>IF(Calculations!$E23&gt;COUNT(Output!$B$35:C$35),Calculations!$B23,IF(Calculations!$E23=COUNT(Output!$B$35:C$35),Inputs!$B56-Calculations!$C23*(Calculations!$E23-1)+Calculations!$D23,0))</f>
        <v>42218.30666666666</v>
      </c>
      <c r="D83" s="46">
        <f>IF(Calculations!$E23&gt;COUNT(Output!$B$35:D$35),Calculations!$B23,IF(Calculations!$E23=COUNT(Output!$B$35:D$35),Inputs!$B56-Calculations!$C23*(Calculations!$E23-1)+Calculations!$D23,0))</f>
        <v>42218.30666666666</v>
      </c>
      <c r="E83" s="46">
        <f>IF(Calculations!$E23&gt;COUNT(Output!$B$35:E$35),Calculations!$B23,IF(Calculations!$E23=COUNT(Output!$B$35:E$35),Inputs!$B56-Calculations!$C23*(Calculations!$E23-1)+Calculations!$D23,0))</f>
        <v>42218.30666666666</v>
      </c>
      <c r="F83" s="46">
        <f>IF(Calculations!$E23&gt;COUNT(Output!$B$35:F$35),Calculations!$B23,IF(Calculations!$E23=COUNT(Output!$B$35:F$35),Inputs!$B56-Calculations!$C23*(Calculations!$E23-1)+Calculations!$D23,0))</f>
        <v>42218.30666666666</v>
      </c>
      <c r="G83" s="46">
        <f>IF(Calculations!$E23&gt;COUNT(Output!$B$35:G$35),Calculations!$B23,IF(Calculations!$E23=COUNT(Output!$B$35:G$35),Inputs!$B56-Calculations!$C23*(Calculations!$E23-1)+Calculations!$D23,0))</f>
        <v>42218.30666666666</v>
      </c>
      <c r="H83" s="46">
        <f>IF(Calculations!$E23&gt;COUNT(Output!$B$35:H$35),Calculations!$B23,IF(Calculations!$E23=COUNT(Output!$B$35:H$35),Inputs!$B56-Calculations!$C23*(Calculations!$E23-1)+Calculations!$D23,0))</f>
        <v>42218.30666666666</v>
      </c>
      <c r="I83" s="46">
        <f>IF(Calculations!$E23&gt;COUNT(Output!$B$35:I$35),Calculations!$B23,IF(Calculations!$E23=COUNT(Output!$B$35:I$35),Inputs!$B56-Calculations!$C23*(Calculations!$E23-1)+Calculations!$D23,0))</f>
        <v>42218.30666666666</v>
      </c>
      <c r="J83" s="46">
        <f>IF(Calculations!$E23&gt;COUNT(Output!$B$35:J$35),Calculations!$B23,IF(Calculations!$E23=COUNT(Output!$B$35:J$35),Inputs!$B56-Calculations!$C23*(Calculations!$E23-1)+Calculations!$D23,0))</f>
        <v>42218.30666666666</v>
      </c>
      <c r="K83" s="46">
        <f>IF(Calculations!$E23&gt;COUNT(Output!$B$35:K$35),Calculations!$B23,IF(Calculations!$E23=COUNT(Output!$B$35:K$35),Inputs!$B56-Calculations!$C23*(Calculations!$E23-1)+Calculations!$D23,0))</f>
        <v>42218.30666666666</v>
      </c>
      <c r="L83" s="46">
        <f>IF(Calculations!$E23&gt;COUNT(Output!$B$35:L$35),Calculations!$B23,IF(Calculations!$E23=COUNT(Output!$B$35:L$35),Inputs!$B56-Calculations!$C23*(Calculations!$E23-1)+Calculations!$D23,0))</f>
        <v>42218.30666666666</v>
      </c>
      <c r="M83" s="46">
        <f>IF(Calculations!$E23&gt;COUNT(Output!$B$35:M$35),Calculations!$B23,IF(Calculations!$E23=COUNT(Output!$B$35:M$35),Inputs!$B56-Calculations!$C23*(Calculations!$E23-1)+Calculations!$D23,0))</f>
        <v>42218.30666666666</v>
      </c>
      <c r="N83" s="46">
        <f>IF(Calculations!$E23&gt;COUNT(Output!$B$35:N$35),Calculations!$B23,IF(Calculations!$E23=COUNT(Output!$B$35:N$35),Inputs!$B56-Calculations!$C23*(Calculations!$E23-1)+Calculations!$D23,0))</f>
        <v>42218.30666666666</v>
      </c>
      <c r="O83" s="46">
        <f>IF(Calculations!$E23&gt;COUNT(Output!$B$35:O$35),Calculations!$B23,IF(Calculations!$E23=COUNT(Output!$B$35:O$35),Inputs!$B56-Calculations!$C23*(Calculations!$E23-1)+Calculations!$D23,0))</f>
        <v>42218.30666666666</v>
      </c>
      <c r="P83" s="46">
        <f>IF(Calculations!$E23&gt;COUNT(Output!$B$35:P$35),Calculations!$B23,IF(Calculations!$E23=COUNT(Output!$B$35:P$35),Inputs!$B56-Calculations!$C23*(Calculations!$E23-1)+Calculations!$D23,0))</f>
        <v>42218.30666666666</v>
      </c>
      <c r="Q83" s="46">
        <f>IF(Calculations!$E23&gt;COUNT(Output!$B$35:Q$35),Calculations!$B23,IF(Calculations!$E23=COUNT(Output!$B$35:Q$35),Inputs!$B56-Calculations!$C23*(Calculations!$E23-1)+Calculations!$D23,0))</f>
        <v>42218.30666666666</v>
      </c>
      <c r="R83" s="46">
        <f>IF(Calculations!$E23&gt;COUNT(Output!$B$35:R$35),Calculations!$B23,IF(Calculations!$E23=COUNT(Output!$B$35:R$35),Inputs!$B56-Calculations!$C23*(Calculations!$E23-1)+Calculations!$D23,0))</f>
        <v>42218.30666666666</v>
      </c>
      <c r="S83" s="46">
        <f>IF(Calculations!$E23&gt;COUNT(Output!$B$35:S$35),Calculations!$B23,IF(Calculations!$E23=COUNT(Output!$B$35:S$35),Inputs!$B56-Calculations!$C23*(Calculations!$E23-1)+Calculations!$D23,0))</f>
        <v>42218.30666666666</v>
      </c>
      <c r="T83" s="46">
        <f>IF(Calculations!$E23&gt;COUNT(Output!$B$35:T$35),Calculations!$B23,IF(Calculations!$E23=COUNT(Output!$B$35:T$35),Inputs!$B56-Calculations!$C23*(Calculations!$E23-1)+Calculations!$D23,0))</f>
        <v>42218.30666666666</v>
      </c>
      <c r="U83" s="46">
        <f>IF(Calculations!$E23&gt;COUNT(Output!$B$35:U$35),Calculations!$B23,IF(Calculations!$E23=COUNT(Output!$B$35:U$35),Inputs!$B56-Calculations!$C23*(Calculations!$E23-1)+Calculations!$D23,0))</f>
        <v>42218.30666666666</v>
      </c>
      <c r="V83" s="46">
        <f>IF(Calculations!$E23&gt;COUNT(Output!$B$35:V$35),Calculations!$B23,IF(Calculations!$E23=COUNT(Output!$B$35:V$35),Inputs!$B56-Calculations!$C23*(Calculations!$E23-1)+Calculations!$D23,0))</f>
        <v>34036.86666666662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878402.9999999997</v>
      </c>
      <c r="AA83" s="46">
        <f>SUM(B83:M83)</f>
        <v>506619.6799999999</v>
      </c>
      <c r="AB83" s="46">
        <f>SUM(B83:Y83)</f>
        <v>878402.9999999997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9166.666666666666</v>
      </c>
      <c r="C84" s="46">
        <f>IF(Calculations!$E24&gt;COUNT(Output!$B$35:C$35),Calculations!$B24,IF(Calculations!$E24=COUNT(Output!$B$35:C$35),Inputs!$B57-Calculations!$C24*(Calculations!$E24-1)+Calculations!$D24,0))</f>
        <v>9166.666666666666</v>
      </c>
      <c r="D84" s="46">
        <f>IF(Calculations!$E24&gt;COUNT(Output!$B$35:D$35),Calculations!$B24,IF(Calculations!$E24=COUNT(Output!$B$35:D$35),Inputs!$B57-Calculations!$C24*(Calculations!$E24-1)+Calculations!$D24,0))</f>
        <v>9166.666666666666</v>
      </c>
      <c r="E84" s="46">
        <f>IF(Calculations!$E24&gt;COUNT(Output!$B$35:E$35),Calculations!$B24,IF(Calculations!$E24=COUNT(Output!$B$35:E$35),Inputs!$B57-Calculations!$C24*(Calculations!$E24-1)+Calculations!$D24,0))</f>
        <v>9166.666666666666</v>
      </c>
      <c r="F84" s="46">
        <f>IF(Calculations!$E24&gt;COUNT(Output!$B$35:F$35),Calculations!$B24,IF(Calculations!$E24=COUNT(Output!$B$35:F$35),Inputs!$B57-Calculations!$C24*(Calculations!$E24-1)+Calculations!$D24,0))</f>
        <v>9166.666666666666</v>
      </c>
      <c r="G84" s="46">
        <f>IF(Calculations!$E24&gt;COUNT(Output!$B$35:G$35),Calculations!$B24,IF(Calculations!$E24=COUNT(Output!$B$35:G$35),Inputs!$B57-Calculations!$C24*(Calculations!$E24-1)+Calculations!$D24,0))</f>
        <v>9166.666666666666</v>
      </c>
      <c r="H84" s="46">
        <f>IF(Calculations!$E24&gt;COUNT(Output!$B$35:H$35),Calculations!$B24,IF(Calculations!$E24=COUNT(Output!$B$35:H$35),Inputs!$B57-Calculations!$C24*(Calculations!$E24-1)+Calculations!$D24,0))</f>
        <v>9166.666666666666</v>
      </c>
      <c r="I84" s="46">
        <f>IF(Calculations!$E24&gt;COUNT(Output!$B$35:I$35),Calculations!$B24,IF(Calculations!$E24=COUNT(Output!$B$35:I$35),Inputs!$B57-Calculations!$C24*(Calculations!$E24-1)+Calculations!$D24,0))</f>
        <v>9166.666666666666</v>
      </c>
      <c r="J84" s="46">
        <f>IF(Calculations!$E24&gt;COUNT(Output!$B$35:J$35),Calculations!$B24,IF(Calculations!$E24=COUNT(Output!$B$35:J$35),Inputs!$B57-Calculations!$C24*(Calculations!$E24-1)+Calculations!$D24,0))</f>
        <v>9166.666666666666</v>
      </c>
      <c r="K84" s="46">
        <f>IF(Calculations!$E24&gt;COUNT(Output!$B$35:K$35),Calculations!$B24,IF(Calculations!$E24=COUNT(Output!$B$35:K$35),Inputs!$B57-Calculations!$C24*(Calculations!$E24-1)+Calculations!$D24,0))</f>
        <v>9166.666666666666</v>
      </c>
      <c r="L84" s="46">
        <f>IF(Calculations!$E24&gt;COUNT(Output!$B$35:L$35),Calculations!$B24,IF(Calculations!$E24=COUNT(Output!$B$35:L$35),Inputs!$B57-Calculations!$C24*(Calculations!$E24-1)+Calculations!$D24,0))</f>
        <v>9166.666666666666</v>
      </c>
      <c r="M84" s="46">
        <f>IF(Calculations!$E24&gt;COUNT(Output!$B$35:M$35),Calculations!$B24,IF(Calculations!$E24=COUNT(Output!$B$35:M$35),Inputs!$B57-Calculations!$C24*(Calculations!$E24-1)+Calculations!$D24,0))</f>
        <v>9166.666666666666</v>
      </c>
      <c r="N84" s="46">
        <f>IF(Calculations!$E24&gt;COUNT(Output!$B$35:N$35),Calculations!$B24,IF(Calculations!$E24=COUNT(Output!$B$35:N$35),Inputs!$B57-Calculations!$C24*(Calculations!$E24-1)+Calculations!$D24,0))</f>
        <v>9166.666666666666</v>
      </c>
      <c r="O84" s="46">
        <f>IF(Calculations!$E24&gt;COUNT(Output!$B$35:O$35),Calculations!$B24,IF(Calculations!$E24=COUNT(Output!$B$35:O$35),Inputs!$B57-Calculations!$C24*(Calculations!$E24-1)+Calculations!$D24,0))</f>
        <v>9166.666666666666</v>
      </c>
      <c r="P84" s="46">
        <f>IF(Calculations!$E24&gt;COUNT(Output!$B$35:P$35),Calculations!$B24,IF(Calculations!$E24=COUNT(Output!$B$35:P$35),Inputs!$B57-Calculations!$C24*(Calculations!$E24-1)+Calculations!$D24,0))</f>
        <v>9166.666666666666</v>
      </c>
      <c r="Q84" s="46">
        <f>IF(Calculations!$E24&gt;COUNT(Output!$B$35:Q$35),Calculations!$B24,IF(Calculations!$E24=COUNT(Output!$B$35:Q$35),Inputs!$B57-Calculations!$C24*(Calculations!$E24-1)+Calculations!$D24,0))</f>
        <v>9166.666666666666</v>
      </c>
      <c r="R84" s="46">
        <f>IF(Calculations!$E24&gt;COUNT(Output!$B$35:R$35),Calculations!$B24,IF(Calculations!$E24=COUNT(Output!$B$35:R$35),Inputs!$B57-Calculations!$C24*(Calculations!$E24-1)+Calculations!$D24,0))</f>
        <v>9166.666666666666</v>
      </c>
      <c r="S84" s="46">
        <f>IF(Calculations!$E24&gt;COUNT(Output!$B$35:S$35),Calculations!$B24,IF(Calculations!$E24=COUNT(Output!$B$35:S$35),Inputs!$B57-Calculations!$C24*(Calculations!$E24-1)+Calculations!$D24,0))</f>
        <v>9166.666666666666</v>
      </c>
      <c r="T84" s="46">
        <f>IF(Calculations!$E24&gt;COUNT(Output!$B$35:T$35),Calculations!$B24,IF(Calculations!$E24=COUNT(Output!$B$35:T$35),Inputs!$B57-Calculations!$C24*(Calculations!$E24-1)+Calculations!$D24,0))</f>
        <v>9166.666666666666</v>
      </c>
      <c r="U84" s="46">
        <f>IF(Calculations!$E24&gt;COUNT(Output!$B$35:U$35),Calculations!$B24,IF(Calculations!$E24=COUNT(Output!$B$35:U$35),Inputs!$B57-Calculations!$C24*(Calculations!$E24-1)+Calculations!$D24,0))</f>
        <v>9166.666666666666</v>
      </c>
      <c r="V84" s="46">
        <f>IF(Calculations!$E24&gt;COUNT(Output!$B$35:V$35),Calculations!$B24,IF(Calculations!$E24=COUNT(Output!$B$35:V$35),Inputs!$B57-Calculations!$C24*(Calculations!$E24-1)+Calculations!$D24,0))</f>
        <v>9166.666666666666</v>
      </c>
      <c r="W84" s="46">
        <f>IF(Calculations!$E24&gt;COUNT(Output!$B$35:W$35),Calculations!$B24,IF(Calculations!$E24=COUNT(Output!$B$35:W$35),Inputs!$B57-Calculations!$C24*(Calculations!$E24-1)+Calculations!$D24,0))</f>
        <v>9166.666666666666</v>
      </c>
      <c r="X84" s="46">
        <f>IF(Calculations!$E24&gt;COUNT(Output!$B$35:X$35),Calculations!$B24,IF(Calculations!$E24=COUNT(Output!$B$35:X$35),Inputs!$B57-Calculations!$C24*(Calculations!$E24-1)+Calculations!$D24,0))</f>
        <v>9166.666666666666</v>
      </c>
      <c r="Y84" s="46">
        <f>IF(Calculations!$E24&gt;COUNT(Output!$B$35:Y$35),Calculations!$B24,IF(Calculations!$E24=COUNT(Output!$B$35:Y$35),Inputs!$B57-Calculations!$C24*(Calculations!$E24-1)+Calculations!$D24,0))</f>
        <v>9166.666666666666</v>
      </c>
      <c r="Z84" s="46">
        <f>SUMIF($B$13:$Y$13,"Yes",B84:Y84)</f>
        <v>219999.9999999999</v>
      </c>
      <c r="AA84" s="46">
        <f>SUM(B84:M84)</f>
        <v>110000</v>
      </c>
      <c r="AB84" s="46">
        <f>SUM(B84:Y84)</f>
        <v>219999.9999999999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18755.29411764706</v>
      </c>
      <c r="C85" s="46">
        <f>IF(Calculations!$E25&gt;COUNT(Output!$B$35:C$35),Calculations!$B25,IF(Calculations!$E25=COUNT(Output!$B$35:C$35),Inputs!$B58-Calculations!$C25*(Calculations!$E25-1)+Calculations!$D25,0))</f>
        <v>18755.29411764706</v>
      </c>
      <c r="D85" s="46">
        <f>IF(Calculations!$E25&gt;COUNT(Output!$B$35:D$35),Calculations!$B25,IF(Calculations!$E25=COUNT(Output!$B$35:D$35),Inputs!$B58-Calculations!$C25*(Calculations!$E25-1)+Calculations!$D25,0))</f>
        <v>18755.29411764706</v>
      </c>
      <c r="E85" s="46">
        <f>IF(Calculations!$E25&gt;COUNT(Output!$B$35:E$35),Calculations!$B25,IF(Calculations!$E25=COUNT(Output!$B$35:E$35),Inputs!$B58-Calculations!$C25*(Calculations!$E25-1)+Calculations!$D25,0))</f>
        <v>18755.29411764706</v>
      </c>
      <c r="F85" s="46">
        <f>IF(Calculations!$E25&gt;COUNT(Output!$B$35:F$35),Calculations!$B25,IF(Calculations!$E25=COUNT(Output!$B$35:F$35),Inputs!$B58-Calculations!$C25*(Calculations!$E25-1)+Calculations!$D25,0))</f>
        <v>18755.29411764706</v>
      </c>
      <c r="G85" s="46">
        <f>IF(Calculations!$E25&gt;COUNT(Output!$B$35:G$35),Calculations!$B25,IF(Calculations!$E25=COUNT(Output!$B$35:G$35),Inputs!$B58-Calculations!$C25*(Calculations!$E25-1)+Calculations!$D25,0))</f>
        <v>18755.29411764706</v>
      </c>
      <c r="H85" s="46">
        <f>IF(Calculations!$E25&gt;COUNT(Output!$B$35:H$35),Calculations!$B25,IF(Calculations!$E25=COUNT(Output!$B$35:H$35),Inputs!$B58-Calculations!$C25*(Calculations!$E25-1)+Calculations!$D25,0))</f>
        <v>18755.29411764706</v>
      </c>
      <c r="I85" s="46">
        <f>IF(Calculations!$E25&gt;COUNT(Output!$B$35:I$35),Calculations!$B25,IF(Calculations!$E25=COUNT(Output!$B$35:I$35),Inputs!$B58-Calculations!$C25*(Calculations!$E25-1)+Calculations!$D25,0))</f>
        <v>18755.29411764706</v>
      </c>
      <c r="J85" s="46">
        <f>IF(Calculations!$E25&gt;COUNT(Output!$B$35:J$35),Calculations!$B25,IF(Calculations!$E25=COUNT(Output!$B$35:J$35),Inputs!$B58-Calculations!$C25*(Calculations!$E25-1)+Calculations!$D25,0))</f>
        <v>18755.29411764706</v>
      </c>
      <c r="K85" s="46">
        <f>IF(Calculations!$E25&gt;COUNT(Output!$B$35:K$35),Calculations!$B25,IF(Calculations!$E25=COUNT(Output!$B$35:K$35),Inputs!$B58-Calculations!$C25*(Calculations!$E25-1)+Calculations!$D25,0))</f>
        <v>18755.29411764706</v>
      </c>
      <c r="L85" s="46">
        <f>IF(Calculations!$E25&gt;COUNT(Output!$B$35:L$35),Calculations!$B25,IF(Calculations!$E25=COUNT(Output!$B$35:L$35),Inputs!$B58-Calculations!$C25*(Calculations!$E25-1)+Calculations!$D25,0))</f>
        <v>18755.29411764706</v>
      </c>
      <c r="M85" s="46">
        <f>IF(Calculations!$E25&gt;COUNT(Output!$B$35:M$35),Calculations!$B25,IF(Calculations!$E25=COUNT(Output!$B$35:M$35),Inputs!$B58-Calculations!$C25*(Calculations!$E25-1)+Calculations!$D25,0))</f>
        <v>18755.29411764706</v>
      </c>
      <c r="N85" s="46">
        <f>IF(Calculations!$E25&gt;COUNT(Output!$B$35:N$35),Calculations!$B25,IF(Calculations!$E25=COUNT(Output!$B$35:N$35),Inputs!$B58-Calculations!$C25*(Calculations!$E25-1)+Calculations!$D25,0))</f>
        <v>18755.29411764706</v>
      </c>
      <c r="O85" s="46">
        <f>IF(Calculations!$E25&gt;COUNT(Output!$B$35:O$35),Calculations!$B25,IF(Calculations!$E25=COUNT(Output!$B$35:O$35),Inputs!$B58-Calculations!$C25*(Calculations!$E25-1)+Calculations!$D25,0))</f>
        <v>18755.29411764706</v>
      </c>
      <c r="P85" s="46">
        <f>IF(Calculations!$E25&gt;COUNT(Output!$B$35:P$35),Calculations!$B25,IF(Calculations!$E25=COUNT(Output!$B$35:P$35),Inputs!$B58-Calculations!$C25*(Calculations!$E25-1)+Calculations!$D25,0))</f>
        <v>18755.29411764706</v>
      </c>
      <c r="Q85" s="46">
        <f>IF(Calculations!$E25&gt;COUNT(Output!$B$35:Q$35),Calculations!$B25,IF(Calculations!$E25=COUNT(Output!$B$35:Q$35),Inputs!$B58-Calculations!$C25*(Calculations!$E25-1)+Calculations!$D25,0))</f>
        <v>18755.29411764706</v>
      </c>
      <c r="R85" s="46">
        <f>IF(Calculations!$E25&gt;COUNT(Output!$B$35:R$35),Calculations!$B25,IF(Calculations!$E25=COUNT(Output!$B$35:R$35),Inputs!$B58-Calculations!$C25*(Calculations!$E25-1)+Calculations!$D25,0))</f>
        <v>18755.29411764706</v>
      </c>
      <c r="S85" s="46">
        <f>IF(Calculations!$E25&gt;COUNT(Output!$B$35:S$35),Calculations!$B25,IF(Calculations!$E25=COUNT(Output!$B$35:S$35),Inputs!$B58-Calculations!$C25*(Calculations!$E25-1)+Calculations!$D25,0))</f>
        <v>18755.29411764706</v>
      </c>
      <c r="T85" s="46">
        <f>IF(Calculations!$E25&gt;COUNT(Output!$B$35:T$35),Calculations!$B25,IF(Calculations!$E25=COUNT(Output!$B$35:T$35),Inputs!$B58-Calculations!$C25*(Calculations!$E25-1)+Calculations!$D25,0))</f>
        <v>18755.29411764706</v>
      </c>
      <c r="U85" s="46">
        <f>IF(Calculations!$E25&gt;COUNT(Output!$B$35:U$35),Calculations!$B25,IF(Calculations!$E25=COUNT(Output!$B$35:U$35),Inputs!$B58-Calculations!$C25*(Calculations!$E25-1)+Calculations!$D25,0))</f>
        <v>18755.29411764706</v>
      </c>
      <c r="V85" s="46">
        <f>IF(Calculations!$E25&gt;COUNT(Output!$B$35:V$35),Calculations!$B25,IF(Calculations!$E25=COUNT(Output!$B$35:V$35),Inputs!$B58-Calculations!$C25*(Calculations!$E25-1)+Calculations!$D25,0))</f>
        <v>18755.29411764706</v>
      </c>
      <c r="W85" s="46">
        <f>IF(Calculations!$E25&gt;COUNT(Output!$B$35:W$35),Calculations!$B25,IF(Calculations!$E25=COUNT(Output!$B$35:W$35),Inputs!$B58-Calculations!$C25*(Calculations!$E25-1)+Calculations!$D25,0))</f>
        <v>18755.29411764706</v>
      </c>
      <c r="X85" s="46">
        <f>IF(Calculations!$E25&gt;COUNT(Output!$B$35:X$35),Calculations!$B25,IF(Calculations!$E25=COUNT(Output!$B$35:X$35),Inputs!$B58-Calculations!$C25*(Calculations!$E25-1)+Calculations!$D25,0))</f>
        <v>18755.29411764706</v>
      </c>
      <c r="Y85" s="46">
        <f>IF(Calculations!$E25&gt;COUNT(Output!$B$35:Y$35),Calculations!$B25,IF(Calculations!$E25=COUNT(Output!$B$35:Y$35),Inputs!$B58-Calculations!$C25*(Calculations!$E25-1)+Calculations!$D25,0))</f>
        <v>18755.29411764706</v>
      </c>
      <c r="Z85" s="46">
        <f>SUMIF($B$13:$Y$13,"Yes",B85:Y85)</f>
        <v>450127.0588235293</v>
      </c>
      <c r="AA85" s="46">
        <f>SUM(B85:M85)</f>
        <v>225063.5294117647</v>
      </c>
      <c r="AB85" s="46">
        <f>SUM(B85:Y85)</f>
        <v>450127.0588235293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298046.2897690263</v>
      </c>
      <c r="C88" s="19">
        <f>SUM(C72:C82,C66,C60,C54,C48,C42,C36)</f>
        <v>609606.2897690262</v>
      </c>
      <c r="D88" s="19">
        <f>SUM(D72:D82,D66,D60,D54,D48,D42,D36)</f>
        <v>364346.2897690263</v>
      </c>
      <c r="E88" s="19">
        <f>SUM(E72:E82,E66,E60,E54,E48,E42,E36)</f>
        <v>428146.2897690263</v>
      </c>
      <c r="F88" s="19">
        <f>SUM(F72:F82,F66,F60,F54,F48,F42,F36)</f>
        <v>364346.2897690263</v>
      </c>
      <c r="G88" s="19">
        <f>SUM(G72:G82,G66,G60,G54,G48,G42,G36)</f>
        <v>326846.2897690263</v>
      </c>
      <c r="H88" s="19">
        <f>SUM(H72:H82,H66,H60,H54,H48,H42,H36)</f>
        <v>298046.2897690263</v>
      </c>
      <c r="I88" s="19">
        <f>SUM(I72:I82,I66,I60,I54,I48,I42,I36)</f>
        <v>609606.2897690262</v>
      </c>
      <c r="J88" s="19">
        <f>SUM(J72:J82,J66,J60,J54,J48,J42,J36)</f>
        <v>364346.2897690263</v>
      </c>
      <c r="K88" s="19">
        <f>SUM(K72:K82,K66,K60,K54,K48,K42,K36)</f>
        <v>428146.2897690263</v>
      </c>
      <c r="L88" s="19">
        <f>SUM(L72:L82,L66,L60,L54,L48,L42,L36)</f>
        <v>364346.2897690263</v>
      </c>
      <c r="M88" s="19">
        <f>SUM(M72:M82,M66,M60,M54,M48,M42,M36)</f>
        <v>326846.2897690263</v>
      </c>
      <c r="N88" s="19">
        <f>SUM(N72:N82,N66,N60,N54,N48,N42,N36)</f>
        <v>298046.2897690263</v>
      </c>
      <c r="O88" s="19">
        <f>SUM(O72:O82,O66,O60,O54,O48,O42,O36)</f>
        <v>609606.2897690262</v>
      </c>
      <c r="P88" s="19">
        <f>SUM(P72:P82,P66,P60,P54,P48,P42,P36)</f>
        <v>364346.2897690263</v>
      </c>
      <c r="Q88" s="19">
        <f>SUM(Q72:Q82,Q66,Q60,Q54,Q48,Q42,Q36)</f>
        <v>428146.2897690263</v>
      </c>
      <c r="R88" s="19">
        <f>SUM(R72:R82,R66,R60,R54,R48,R42,R36)</f>
        <v>364346.2897690263</v>
      </c>
      <c r="S88" s="19">
        <f>SUM(S72:S82,S66,S60,S54,S48,S42,S36)</f>
        <v>326846.2897690263</v>
      </c>
      <c r="T88" s="19">
        <f>SUM(T72:T82,T66,T60,T54,T48,T42,T36)</f>
        <v>298046.2897690263</v>
      </c>
      <c r="U88" s="19">
        <f>SUM(U72:U82,U66,U60,U54,U48,U42,U36)</f>
        <v>609606.2897690262</v>
      </c>
      <c r="V88" s="19">
        <f>SUM(V72:V82,V66,V60,V54,V48,V42,V36)</f>
        <v>356164.8497690262</v>
      </c>
      <c r="W88" s="19">
        <f>SUM(W72:W82,W66,W60,W54,W48,W42,W36)</f>
        <v>385927.9831023596</v>
      </c>
      <c r="X88" s="19">
        <f>SUM(X72:X82,X66,X60,X54,X48,X42,X36)</f>
        <v>322127.9831023596</v>
      </c>
      <c r="Y88" s="19">
        <f>SUM(Y72:Y82,Y66,Y60,Y54,Y48,Y42,Y36)</f>
        <v>284627.9831023596</v>
      </c>
      <c r="Z88" s="19">
        <f>SUMIF($B$13:$Y$13,"Yes",B88:Y88)</f>
        <v>9430514.59445663</v>
      </c>
      <c r="AA88" s="19">
        <f>SUM(B88:M88)</f>
        <v>4782675.477228316</v>
      </c>
      <c r="AB88" s="19">
        <f>SUM(B88:Y88)</f>
        <v>9430514.59445663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100000</v>
      </c>
    </row>
    <row r="95" spans="1:30">
      <c r="A95" t="s">
        <v>61</v>
      </c>
      <c r="B95" s="36">
        <f>Inputs!B47</f>
        <v>1715000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37000000</v>
      </c>
    </row>
    <row r="98" spans="1:30">
      <c r="A98" t="s">
        <v>64</v>
      </c>
      <c r="B98" s="36">
        <f>IF(Inputs!B44="Yes",Inputs!B45,0)</f>
        <v>5000000</v>
      </c>
    </row>
    <row r="99" spans="1:30">
      <c r="A99" t="s">
        <v>65</v>
      </c>
      <c r="B99" s="36">
        <f>Inputs!B46</f>
        <v>1500000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45315000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1551747</v>
      </c>
    </row>
    <row r="106" spans="1:30" customHeight="1" ht="15.75">
      <c r="A106" s="18" t="s">
        <v>71</v>
      </c>
      <c r="B106" s="37">
        <f>Calculations!G35</f>
        <v>1600000</v>
      </c>
    </row>
    <row r="107" spans="1:30" customHeight="1" ht="15.75">
      <c r="A107" s="1" t="s">
        <v>72</v>
      </c>
      <c r="B107" s="19">
        <f>SUM(B104:B106)</f>
        <v>3151747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7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 t="s">
        <v>96</v>
      </c>
      <c r="B9" s="16"/>
      <c r="C9" s="143">
        <v>3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150000</v>
      </c>
    </row>
    <row r="31" spans="1:48">
      <c r="A31" s="5" t="s">
        <v>116</v>
      </c>
      <c r="B31" s="158">
        <v>50000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5000000</v>
      </c>
    </row>
    <row r="46" spans="1:48" customHeight="1" ht="30">
      <c r="A46" s="57" t="s">
        <v>130</v>
      </c>
      <c r="B46" s="161">
        <v>1500000</v>
      </c>
    </row>
    <row r="47" spans="1:48" customHeight="1" ht="30">
      <c r="A47" s="57" t="s">
        <v>131</v>
      </c>
      <c r="B47" s="161">
        <v>1715000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100000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800000</v>
      </c>
      <c r="B56" s="159">
        <v>570403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500000</v>
      </c>
      <c r="B57" s="157">
        <v>500000</v>
      </c>
      <c r="C57" s="164" t="s">
        <v>145</v>
      </c>
      <c r="D57" s="165" t="s">
        <v>146</v>
      </c>
      <c r="E57" s="165" t="s">
        <v>92</v>
      </c>
      <c r="F57" s="165" t="s">
        <v>147</v>
      </c>
    </row>
    <row r="58" spans="1:48">
      <c r="A58" s="157">
        <v>600000</v>
      </c>
      <c r="B58" s="157">
        <v>481344</v>
      </c>
      <c r="C58" s="164" t="s">
        <v>148</v>
      </c>
      <c r="D58" s="165" t="s">
        <v>149</v>
      </c>
      <c r="E58" s="165" t="s">
        <v>92</v>
      </c>
      <c r="F58" s="165" t="s">
        <v>150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152</v>
      </c>
      <c r="C65" s="10" t="s">
        <v>153</v>
      </c>
    </row>
    <row r="66" spans="1:48">
      <c r="A66" s="142" t="s">
        <v>154</v>
      </c>
      <c r="B66" s="159">
        <v>4164604</v>
      </c>
      <c r="C66" s="163">
        <v>4140873</v>
      </c>
      <c r="D66" s="49">
        <f>INDEX(Parameters!$D$79:$D$90,MATCH(Inputs!A66,Parameters!$C$79:$C$90,0))</f>
        <v>2</v>
      </c>
    </row>
    <row r="67" spans="1:48">
      <c r="A67" s="143" t="s">
        <v>155</v>
      </c>
      <c r="B67" s="157">
        <v>4164591</v>
      </c>
      <c r="C67" s="165">
        <v>4154655</v>
      </c>
      <c r="D67" s="49">
        <f>INDEX(Parameters!$D$79:$D$90,MATCH(Inputs!A67,Parameters!$C$79:$C$90,0))</f>
        <v>1</v>
      </c>
    </row>
    <row r="68" spans="1:48">
      <c r="A68" s="143" t="s">
        <v>156</v>
      </c>
      <c r="B68" s="157">
        <v>3751004</v>
      </c>
      <c r="C68" s="165">
        <v>3740830</v>
      </c>
      <c r="D68" s="49">
        <f>INDEX(Parameters!$D$79:$D$90,MATCH(Inputs!A68,Parameters!$C$79:$C$90,0))</f>
        <v>12</v>
      </c>
    </row>
    <row r="69" spans="1:48">
      <c r="A69" s="143" t="s">
        <v>157</v>
      </c>
      <c r="B69" s="157">
        <v>3512463</v>
      </c>
      <c r="C69" s="165">
        <v>3510898</v>
      </c>
      <c r="D69" s="49">
        <f>INDEX(Parameters!$D$79:$D$90,MATCH(Inputs!A69,Parameters!$C$79:$C$90,0))</f>
        <v>11</v>
      </c>
    </row>
    <row r="70" spans="1:48">
      <c r="A70" s="143" t="s">
        <v>158</v>
      </c>
      <c r="B70" s="157">
        <v>4714230</v>
      </c>
      <c r="C70" s="165">
        <v>4690777</v>
      </c>
      <c r="D70" s="49">
        <f>INDEX(Parameters!$D$79:$D$90,MATCH(Inputs!A70,Parameters!$C$79:$C$90,0))</f>
        <v>10</v>
      </c>
    </row>
    <row r="71" spans="1:48">
      <c r="A71" s="144" t="s">
        <v>159</v>
      </c>
      <c r="B71" s="158">
        <v>3193153</v>
      </c>
      <c r="C71" s="167">
        <v>3136190</v>
      </c>
      <c r="D71" s="49">
        <f>INDEX(Parameters!$D$79:$D$90,MATCH(Inputs!A71,Parameters!$C$79:$C$90,0))</f>
        <v>9</v>
      </c>
    </row>
    <row r="73" spans="1:48">
      <c r="A73" s="3" t="s">
        <v>160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161</v>
      </c>
      <c r="B75" s="161">
        <v>5</v>
      </c>
    </row>
    <row r="76" spans="1:48">
      <c r="A76" t="s">
        <v>162</v>
      </c>
      <c r="B76" s="168" t="s">
        <v>163</v>
      </c>
    </row>
    <row r="78" spans="1:48" customHeight="1" ht="20.25">
      <c r="B78" s="127" t="s">
        <v>164</v>
      </c>
    </row>
    <row r="79" spans="1:48">
      <c r="A79" t="s">
        <v>165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1600000</v>
      </c>
    </row>
    <row r="82" spans="1:48">
      <c r="A82" t="s">
        <v>169</v>
      </c>
      <c r="B82" s="161">
        <v>20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36</v>
      </c>
    </row>
    <row r="86" spans="1:48">
      <c r="A86" t="s">
        <v>174</v>
      </c>
      <c r="B86" s="161"/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43282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43466</v>
      </c>
      <c r="H4" s="20">
        <f>Inputs!C7</f>
        <v>10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9022.633424063135</v>
      </c>
      <c r="M4" s="25">
        <f>L4*H4</f>
        <v>90226.33424063135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2526337.358737678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6060</v>
      </c>
      <c r="W4" s="33">
        <f>IFERROR(J4*H4*Parameters!$B$35+IF(OR(Inputs!F7=Parameters!$E$78,Inputs!F7=Parameters!$E$80),Calculations!H4*Parameters!$B$36,0),0)</f>
        <v>20000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28000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150000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Potatoes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43191</v>
      </c>
      <c r="C5" s="39">
        <f>IFERROR(DATE(YEAR(B5),MONTH(B5)+ROUND(T5/2,0),DAY(B5)),B5)</f>
        <v>43252</v>
      </c>
      <c r="D5" s="39">
        <f>IFERROR(DATE(YEAR(B5),MONTH(B5)+T5,DAY(B5)),"")</f>
        <v>43313</v>
      </c>
      <c r="E5" s="39">
        <f>IFERROR(IF($S5=0,"",IF($S5=2,DATE(YEAR(B5),MONTH(B5)+6,DAY(B5)),IF($S5=1,B5,""))),"")</f>
        <v>43374</v>
      </c>
      <c r="F5" s="39">
        <f>IFERROR(IF($S5=0,"",IF($S5=2,DATE(YEAR(C5),MONTH(C5)+6,DAY(C5)),IF($S5=1,C5,""))),"")</f>
        <v>43435</v>
      </c>
      <c r="G5" s="39">
        <f>IFERROR(IF($S5=0,"",IF($S5=2,DATE(YEAR(D5),MONTH(D5)+6,DAY(D5)),IF($S5=1,D5,""))),"")</f>
        <v>43497</v>
      </c>
      <c r="H5" s="16">
        <f>Inputs!C8</f>
        <v>7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200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8558.01473327987</v>
      </c>
      <c r="M5" s="30">
        <f>L5*H5</f>
        <v>59906.10313295909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11.2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1341896.710178284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168000</v>
      </c>
      <c r="W5" s="34">
        <f>IFERROR(J5*H5*Parameters!$B$35+IF(OR(Inputs!F8=Parameters!$E$78,Inputs!F8=Parameters!$E$80),Calculations!H5*Parameters!$B$36,0),0)</f>
        <v>14000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30100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84000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Carrots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43191</v>
      </c>
      <c r="C6" s="39">
        <f>IFERROR(DATE(YEAR(B6),MONTH(B6)+ROUND(T6/2,0),DAY(B6)),B6)</f>
        <v>43252</v>
      </c>
      <c r="D6" s="39">
        <f>IFERROR(DATE(YEAR(B6),MONTH(B6)+T6,DAY(B6)),"")</f>
        <v>43313</v>
      </c>
      <c r="E6" s="39">
        <f>IFERROR(IF($S6=0,"",IF($S6=2,DATE(YEAR(B6),MONTH(B6)+6,DAY(B6)),IF($S6=1,B6,""))),"")</f>
        <v>43374</v>
      </c>
      <c r="F6" s="39">
        <f>IFERROR(IF($S6=0,"",IF($S6=2,DATE(YEAR(C6),MONTH(C6)+6,DAY(C6)),IF($S6=1,C6,""))),"")</f>
        <v>43435</v>
      </c>
      <c r="G6" s="39">
        <f>IFERROR(IF($S6=0,"",IF($S6=2,DATE(YEAR(D6),MONTH(D6)+6,DAY(D6)),IF($S6=1,D6,""))),"")</f>
        <v>43497</v>
      </c>
      <c r="H6" s="16">
        <f>Inputs!C9</f>
        <v>3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80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8780.158337056037</v>
      </c>
      <c r="M6" s="30">
        <f>L6*H6</f>
        <v>26340.47501116811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28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1475066.600625414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31200</v>
      </c>
      <c r="W6" s="34">
        <f>IFERROR(J6*H6*Parameters!$B$35+IF(OR(Inputs!F9=Parameters!$E$78,Inputs!F9=Parameters!$E$80),Calculations!H6*Parameters!$B$36,0),0)</f>
        <v>6000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5700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60000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52">
      <c r="A23" s="75">
        <f>Inputs!A56</f>
        <v>800000</v>
      </c>
      <c r="B23" s="75">
        <f>SUM(C23:D23)</f>
        <v>42218.30666666666</v>
      </c>
      <c r="C23" s="75">
        <f>IF(Inputs!B56&gt;0,(Inputs!A56-Inputs!B56)/(DATE(YEAR(Inputs!$B$76),MONTH(Inputs!$B$76),DAY(Inputs!$B$76))-DATE(YEAR(Inputs!C56),MONTH(Inputs!C56),DAY(Inputs!C56)))*30,0)</f>
        <v>27551.64</v>
      </c>
      <c r="D23" s="75">
        <f>IF(Inputs!B56&gt;0,Inputs!A56*0.22/12,0)</f>
        <v>14666.66666666667</v>
      </c>
      <c r="E23" s="75">
        <f>IFERROR(ROUNDUP(Inputs!B56/C23,0),0)</f>
        <v>21</v>
      </c>
    </row>
    <row r="24" spans="1:52">
      <c r="A24" s="46">
        <f>Inputs!A57</f>
        <v>500000</v>
      </c>
      <c r="B24" s="46">
        <f>SUM(C24:D24)</f>
        <v>9166.666666666666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9166.666666666666</v>
      </c>
      <c r="E24" s="46">
        <f>IFERROR(ROUNDUP(Inputs!B57/B24,0),0)</f>
        <v>55</v>
      </c>
      <c r="H24" s="1"/>
    </row>
    <row r="25" spans="1:52">
      <c r="A25" s="46">
        <f>Inputs!A58</f>
        <v>600000</v>
      </c>
      <c r="B25" s="46">
        <f>SUM(C25:D25)</f>
        <v>18755.29411764706</v>
      </c>
      <c r="C25" s="46">
        <f>IF(Inputs!B58&gt;0,(Inputs!A58-Inputs!B58)/(DATE(YEAR(Inputs!$B$76),MONTH(Inputs!$B$76),DAY(Inputs!$B$76))-DATE(YEAR(Inputs!C58),MONTH(Inputs!C58),DAY(Inputs!C58)))*30,0)</f>
        <v>7755.294117647059</v>
      </c>
      <c r="D25" s="46">
        <f>IF(Inputs!B58&gt;0,Inputs!A58*0.22/12,0)</f>
        <v>11000</v>
      </c>
      <c r="E25" s="46">
        <f>IFERROR(ROUNDUP(Inputs!B58/B25,0),0)</f>
        <v>26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43179</v>
      </c>
      <c r="C33" s="27">
        <f>IF(B33&lt;&gt;"",IF(COUNT($A$33:A33)&lt;=$G$39,0,$G$41)+IF(COUNT($A$33:A33)&lt;=$G$40,0,$G$42),0)</f>
        <v>71111.11111111111</v>
      </c>
      <c r="D33" s="170">
        <f>IFERROR(DATE(YEAR(B33),MONTH(B33),1)," ")</f>
        <v>43160</v>
      </c>
      <c r="F33" t="s">
        <v>165</v>
      </c>
      <c r="G33" s="128">
        <f>IF(Inputs!B79="","",DATE(YEAR(Inputs!B79),MONTH(Inputs!B79),DAY(Inputs!B79)))</f>
        <v>43166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43210</v>
      </c>
      <c r="C34" s="27">
        <f>IF(B34&lt;&gt;"",IF(COUNT($A$33:A34)&lt;=$G$39,0,$G$41)+IF(COUNT($A$33:A34)&lt;=$G$40,0,$G$42),0)</f>
        <v>71111.11111111111</v>
      </c>
      <c r="D34" s="170">
        <f>IFERROR(DATE(YEAR(B34),MONTH(B34),1)," ")</f>
        <v>43191</v>
      </c>
      <c r="F34" t="s">
        <v>166</v>
      </c>
      <c r="G34" s="128">
        <f>IF(Inputs!B80="","",DATE(YEAR(Inputs!B80),MONTH(Inputs!B80),DAY(Inputs!B80)))</f>
        <v>43179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43240</v>
      </c>
      <c r="C35" s="27">
        <f>IF(B35&lt;&gt;"",IF(COUNT($A$33:A35)&lt;=$G$39,0,$G$41)+IF(COUNT($A$33:A35)&lt;=$G$40,0,$G$42),0)</f>
        <v>71111.11111111111</v>
      </c>
      <c r="D35" s="170">
        <f>IFERROR(DATE(YEAR(B35),MONTH(B35),1)," ")</f>
        <v>43221</v>
      </c>
      <c r="F35" t="s">
        <v>168</v>
      </c>
      <c r="G35" s="27">
        <f>Inputs!B81</f>
        <v>1600000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43271</v>
      </c>
      <c r="C36" s="27">
        <f>IF(B36&lt;&gt;"",IF(COUNT($A$33:A36)&lt;=$G$39,0,$G$41)+IF(COUNT($A$33:A36)&lt;=$G$40,0,$G$42),0)</f>
        <v>71111.11111111111</v>
      </c>
      <c r="D36" s="170">
        <f>IFERROR(DATE(YEAR(B36),MONTH(B36),1)," ")</f>
        <v>43252</v>
      </c>
      <c r="F36" t="s">
        <v>169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43301</v>
      </c>
      <c r="C37" s="27">
        <f>IF(B37&lt;&gt;"",IF(COUNT($A$33:A37)&lt;=$G$39,0,$G$41)+IF(COUNT($A$33:A37)&lt;=$G$40,0,$G$42),0)</f>
        <v>71111.11111111111</v>
      </c>
      <c r="D37" s="170">
        <f>IFERROR(DATE(YEAR(B37),MONTH(B37),1)," ")</f>
        <v>43282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43332</v>
      </c>
      <c r="C38" s="27">
        <f>IF(B38&lt;&gt;"",IF(COUNT($A$33:A38)&lt;=$G$39,0,$G$41)+IF(COUNT($A$33:A38)&lt;=$G$40,0,$G$42),0)</f>
        <v>71111.11111111111</v>
      </c>
      <c r="D38" s="170">
        <f>IFERROR(DATE(YEAR(B38),MONTH(B38),1)," ")</f>
        <v>43313</v>
      </c>
      <c r="F38" t="s">
        <v>231</v>
      </c>
      <c r="G38" s="27">
        <f>IFERROR(Inputs!B85/Inputs!B84,"")</f>
        <v>36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43363</v>
      </c>
      <c r="C39" s="27">
        <f>IF(B39&lt;&gt;"",IF(COUNT($A$33:A39)&lt;=$G$39,0,$G$41)+IF(COUNT($A$33:A39)&lt;=$G$40,0,$G$42),0)</f>
        <v>71111.11111111111</v>
      </c>
      <c r="D39" s="170">
        <f>IFERROR(DATE(YEAR(B39),MONTH(B39),1)," ")</f>
        <v>43344</v>
      </c>
      <c r="F39" t="s">
        <v>174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43393</v>
      </c>
      <c r="C40" s="27">
        <f>IF(B40&lt;&gt;"",IF(COUNT($A$33:A40)&lt;=$G$39,0,$G$41)+IF(COUNT($A$33:A40)&lt;=$G$40,0,$G$42),0)</f>
        <v>71111.11111111111</v>
      </c>
      <c r="D40" s="170">
        <f>IFERROR(DATE(YEAR(B40),MONTH(B40),1)," ")</f>
        <v>43374</v>
      </c>
      <c r="F40" t="s">
        <v>175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43424</v>
      </c>
      <c r="C41" s="27">
        <f>IF(B41&lt;&gt;"",IF(COUNT($A$33:A41)&lt;=$G$39,0,$G$41)+IF(COUNT($A$33:A41)&lt;=$G$40,0,$G$42),0)</f>
        <v>71111.11111111111</v>
      </c>
      <c r="D41" s="170">
        <f>IFERROR(DATE(YEAR(B41),MONTH(B41),1)," ")</f>
        <v>43405</v>
      </c>
      <c r="F41" t="s">
        <v>232</v>
      </c>
      <c r="G41" s="73">
        <f>IFERROR(G35/(G38-G39),"")</f>
        <v>44444.44444444445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43454</v>
      </c>
      <c r="C42" s="27">
        <f>IF(B42&lt;&gt;"",IF(COUNT($A$33:A42)&lt;=$G$39,0,$G$41)+IF(COUNT($A$33:A42)&lt;=$G$40,0,$G$42),0)</f>
        <v>71111.11111111111</v>
      </c>
      <c r="D42" s="170">
        <f>IFERROR(DATE(YEAR(B42),MONTH(B42),1)," ")</f>
        <v>43435</v>
      </c>
      <c r="F42" t="s">
        <v>233</v>
      </c>
      <c r="G42" s="73">
        <f>IFERROR(G35*G36*IF(G37="Monthly",G38/12,IF(G37="Fortnightly",G38/(365/14),G38/(365/28)))/(G38-G40),"")</f>
        <v>26666.66666666667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43485</v>
      </c>
      <c r="C43" s="27">
        <f>IF(B43&lt;&gt;"",IF(COUNT($A$33:A43)&lt;=$G$39,0,$G$41)+IF(COUNT($A$33:A43)&lt;=$G$40,0,$G$42),0)</f>
        <v>71111.11111111111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43516</v>
      </c>
      <c r="C44" s="27">
        <f>IF(B44&lt;&gt;"",IF(COUNT($A$33:A44)&lt;=$G$39,0,$G$41)+IF(COUNT($A$33:A44)&lt;=$G$40,0,$G$42),0)</f>
        <v>71111.11111111111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43544</v>
      </c>
      <c r="C45" s="27">
        <f>IF(B45&lt;&gt;"",IF(COUNT($A$33:A45)&lt;=$G$39,0,$G$41)+IF(COUNT($A$33:A45)&lt;=$G$40,0,$G$42),0)</f>
        <v>71111.11111111111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43575</v>
      </c>
      <c r="C46" s="27">
        <f>IF(B46&lt;&gt;"",IF(COUNT($A$33:A46)&lt;=$G$39,0,$G$41)+IF(COUNT($A$33:A46)&lt;=$G$40,0,$G$42),0)</f>
        <v>71111.11111111111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43605</v>
      </c>
      <c r="C47" s="27">
        <f>IF(B47&lt;&gt;"",IF(COUNT($A$33:A47)&lt;=$G$39,0,$G$41)+IF(COUNT($A$33:A47)&lt;=$G$40,0,$G$42),0)</f>
        <v>71111.11111111111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43636</v>
      </c>
      <c r="C48" s="27">
        <f>IF(B48&lt;&gt;"",IF(COUNT($A$33:A48)&lt;=$G$39,0,$G$41)+IF(COUNT($A$33:A48)&lt;=$G$40,0,$G$42),0)</f>
        <v>71111.11111111111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43666</v>
      </c>
      <c r="C49" s="27">
        <f>IF(B49&lt;&gt;"",IF(COUNT($A$33:A49)&lt;=$G$39,0,$G$41)+IF(COUNT($A$33:A49)&lt;=$G$40,0,$G$42),0)</f>
        <v>71111.11111111111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43697</v>
      </c>
      <c r="C50" s="27">
        <f>IF(B50&lt;&gt;"",IF(COUNT($A$33:A50)&lt;=$G$39,0,$G$41)+IF(COUNT($A$33:A50)&lt;=$G$40,0,$G$42),0)</f>
        <v>71111.11111111111</v>
      </c>
      <c r="D50" s="170">
        <f>IFERROR(DATE(YEAR(B50),MONTH(B50),1)," ")</f>
        <v>43678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43728</v>
      </c>
      <c r="C51" s="27">
        <f>IF(B51&lt;&gt;"",IF(COUNT($A$33:A51)&lt;=$G$39,0,$G$41)+IF(COUNT($A$33:A51)&lt;=$G$40,0,$G$42),0)</f>
        <v>71111.11111111111</v>
      </c>
      <c r="D51" s="170">
        <f>IFERROR(DATE(YEAR(B51),MONTH(B51),1)," ")</f>
        <v>43709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43758</v>
      </c>
      <c r="C52" s="27">
        <f>IF(B52&lt;&gt;"",IF(COUNT($A$33:A52)&lt;=$G$39,0,$G$41)+IF(COUNT($A$33:A52)&lt;=$G$40,0,$G$42),0)</f>
        <v>71111.11111111111</v>
      </c>
      <c r="D52" s="170">
        <f>IFERROR(DATE(YEAR(B52),MONTH(B52),1)," ")</f>
        <v>43739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43789</v>
      </c>
      <c r="C53" s="27">
        <f>IF(B53&lt;&gt;"",IF(COUNT($A$33:A53)&lt;=$G$39,0,$G$41)+IF(COUNT($A$33:A53)&lt;=$G$40,0,$G$42),0)</f>
        <v>71111.11111111111</v>
      </c>
      <c r="D53" s="170">
        <f>IFERROR(DATE(YEAR(B53),MONTH(B53),1)," ")</f>
        <v>43770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43819</v>
      </c>
      <c r="C54" s="27">
        <f>IF(B54&lt;&gt;"",IF(COUNT($A$33:A54)&lt;=$G$39,0,$G$41)+IF(COUNT($A$33:A54)&lt;=$G$40,0,$G$42),0)</f>
        <v>71111.11111111111</v>
      </c>
      <c r="D54" s="170">
        <f>IFERROR(DATE(YEAR(B54),MONTH(B54),1)," ")</f>
        <v>43800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43850</v>
      </c>
      <c r="C55" s="27">
        <f>IF(B55&lt;&gt;"",IF(COUNT($A$33:A55)&lt;=$G$39,0,$G$41)+IF(COUNT($A$33:A55)&lt;=$G$40,0,$G$42),0)</f>
        <v>71111.11111111111</v>
      </c>
      <c r="D55" s="170">
        <f>IFERROR(DATE(YEAR(B55),MONTH(B55),1)," ")</f>
        <v>43831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43881</v>
      </c>
      <c r="C56" s="27">
        <f>IF(B56&lt;&gt;"",IF(COUNT($A$33:A56)&lt;=$G$39,0,$G$41)+IF(COUNT($A$33:A56)&lt;=$G$40,0,$G$42),0)</f>
        <v>71111.11111111111</v>
      </c>
      <c r="D56" s="170">
        <f>IFERROR(DATE(YEAR(B56),MONTH(B56),1)," ")</f>
        <v>43862</v>
      </c>
    </row>
    <row r="57" spans="1:52">
      <c r="A57">
        <f>A56+1</f>
        <v>25</v>
      </c>
      <c r="B57" s="128">
        <f>IFERROR(IF(COUNT($A$33:A57)&lt;=$G$38,IF($G$37="Monthly",DATE(YEAR(B56),MONTH(B56)+1,MIN(DAY(B56),28)),B56+14),""),"")</f>
        <v>43910</v>
      </c>
      <c r="C57" s="27">
        <f>IF(B57&lt;&gt;"",IF(COUNT($A$33:A57)&lt;=$G$39,0,$G$41)+IF(COUNT($A$33:A57)&lt;=$G$40,0,$G$42),0)</f>
        <v>71111.11111111111</v>
      </c>
      <c r="D57" s="170">
        <f>IFERROR(DATE(YEAR(B57),MONTH(B57),1)," ")</f>
        <v>43891</v>
      </c>
    </row>
    <row r="58" spans="1:52">
      <c r="A58">
        <f>A57+1</f>
        <v>26</v>
      </c>
      <c r="B58" s="128">
        <f>IFERROR(IF(COUNT($A$33:A58)&lt;=$G$38,IF($G$37="Monthly",DATE(YEAR(B57),MONTH(B57)+1,MIN(DAY(B57),28)),B57+14),""),"")</f>
        <v>43941</v>
      </c>
      <c r="C58" s="27">
        <f>IF(B58&lt;&gt;"",IF(COUNT($A$33:A58)&lt;=$G$39,0,$G$41)+IF(COUNT($A$33:A58)&lt;=$G$40,0,$G$42),0)</f>
        <v>71111.11111111111</v>
      </c>
      <c r="D58" s="170">
        <f>IFERROR(DATE(YEAR(B58),MONTH(B58),1)," ")</f>
        <v>43922</v>
      </c>
    </row>
    <row r="59" spans="1:52">
      <c r="A59">
        <f>A58+1</f>
        <v>27</v>
      </c>
      <c r="B59" s="128">
        <f>IFERROR(IF(COUNT($A$33:A59)&lt;=$G$38,IF($G$37="Monthly",DATE(YEAR(B58),MONTH(B58)+1,MIN(DAY(B58),28)),B58+14),""),"")</f>
        <v>43971</v>
      </c>
      <c r="C59" s="27">
        <f>IF(B59&lt;&gt;"",IF(COUNT($A$33:A59)&lt;=$G$39,0,$G$41)+IF(COUNT($A$33:A59)&lt;=$G$40,0,$G$42),0)</f>
        <v>71111.11111111111</v>
      </c>
      <c r="D59" s="170">
        <f>IFERROR(DATE(YEAR(B59),MONTH(B59),1)," ")</f>
        <v>43952</v>
      </c>
    </row>
    <row r="60" spans="1:52">
      <c r="A60">
        <f>A59+1</f>
        <v>28</v>
      </c>
      <c r="B60" s="128">
        <f>IFERROR(IF(COUNT($A$33:A60)&lt;=$G$38,IF($G$37="Monthly",DATE(YEAR(B59),MONTH(B59)+1,MIN(DAY(B59),28)),B59+14),""),"")</f>
        <v>44002</v>
      </c>
      <c r="C60" s="27">
        <f>IF(B60&lt;&gt;"",IF(COUNT($A$33:A60)&lt;=$G$39,0,$G$41)+IF(COUNT($A$33:A60)&lt;=$G$40,0,$G$42),0)</f>
        <v>71111.11111111111</v>
      </c>
      <c r="D60" s="170">
        <f>IFERROR(DATE(YEAR(B60),MONTH(B60),1)," ")</f>
        <v>43983</v>
      </c>
    </row>
    <row r="61" spans="1:52">
      <c r="A61">
        <f>A60+1</f>
        <v>29</v>
      </c>
      <c r="B61" s="128">
        <f>IFERROR(IF(COUNT($A$33:A61)&lt;=$G$38,IF($G$37="Monthly",DATE(YEAR(B60),MONTH(B60)+1,MIN(DAY(B60),28)),B60+14),""),"")</f>
        <v>44032</v>
      </c>
      <c r="C61" s="27">
        <f>IF(B61&lt;&gt;"",IF(COUNT($A$33:A61)&lt;=$G$39,0,$G$41)+IF(COUNT($A$33:A61)&lt;=$G$40,0,$G$42),0)</f>
        <v>71111.11111111111</v>
      </c>
      <c r="D61" s="170">
        <f>IFERROR(DATE(YEAR(B61),MONTH(B61),1)," ")</f>
        <v>44013</v>
      </c>
    </row>
    <row r="62" spans="1:52">
      <c r="A62">
        <f>A61+1</f>
        <v>30</v>
      </c>
      <c r="B62" s="128">
        <f>IFERROR(IF(COUNT($A$33:A62)&lt;=$G$38,IF($G$37="Monthly",DATE(YEAR(B61),MONTH(B61)+1,MIN(DAY(B61),28)),B61+14),""),"")</f>
        <v>44063</v>
      </c>
      <c r="C62" s="27">
        <f>IF(B62&lt;&gt;"",IF(COUNT($A$33:A62)&lt;=$G$39,0,$G$41)+IF(COUNT($A$33:A62)&lt;=$G$40,0,$G$42),0)</f>
        <v>71111.11111111111</v>
      </c>
      <c r="D62" s="170">
        <f>IFERROR(DATE(YEAR(B62),MONTH(B62),1)," ")</f>
        <v>44044</v>
      </c>
    </row>
    <row r="63" spans="1:52">
      <c r="A63">
        <f>A62+1</f>
        <v>31</v>
      </c>
      <c r="B63" s="128">
        <f>IFERROR(IF(COUNT($A$33:A63)&lt;=$G$38,IF($G$37="Monthly",DATE(YEAR(B62),MONTH(B62)+1,MIN(DAY(B62),28)),B62+14),""),"")</f>
        <v>44094</v>
      </c>
      <c r="C63" s="27">
        <f>IF(B63&lt;&gt;"",IF(COUNT($A$33:A63)&lt;=$G$39,0,$G$41)+IF(COUNT($A$33:A63)&lt;=$G$40,0,$G$42),0)</f>
        <v>71111.11111111111</v>
      </c>
      <c r="D63" s="170">
        <f>IFERROR(DATE(YEAR(B63),MONTH(B63),1)," ")</f>
        <v>44075</v>
      </c>
    </row>
    <row r="64" spans="1:52">
      <c r="A64">
        <f>A63+1</f>
        <v>32</v>
      </c>
      <c r="B64" s="128">
        <f>IFERROR(IF(COUNT($A$33:A64)&lt;=$G$38,IF($G$37="Monthly",DATE(YEAR(B63),MONTH(B63)+1,MIN(DAY(B63),28)),B63+14),""),"")</f>
        <v>44124</v>
      </c>
      <c r="C64" s="27">
        <f>IF(B64&lt;&gt;"",IF(COUNT($A$33:A64)&lt;=$G$39,0,$G$41)+IF(COUNT($A$33:A64)&lt;=$G$40,0,$G$42),0)</f>
        <v>71111.11111111111</v>
      </c>
      <c r="D64" s="170">
        <f>IFERROR(DATE(YEAR(B64),MONTH(B64),1)," ")</f>
        <v>44105</v>
      </c>
    </row>
    <row r="65" spans="1:52">
      <c r="A65">
        <f>A64+1</f>
        <v>33</v>
      </c>
      <c r="B65" s="128">
        <f>IFERROR(IF(COUNT($A$33:A65)&lt;=$G$38,IF($G$37="Monthly",DATE(YEAR(B64),MONTH(B64)+1,MIN(DAY(B64),28)),B64+14),""),"")</f>
        <v>44155</v>
      </c>
      <c r="C65" s="27">
        <f>IF(B65&lt;&gt;"",IF(COUNT($A$33:A65)&lt;=$G$39,0,$G$41)+IF(COUNT($A$33:A65)&lt;=$G$40,0,$G$42),0)</f>
        <v>71111.11111111111</v>
      </c>
      <c r="D65" s="170">
        <f>IFERROR(DATE(YEAR(B65),MONTH(B65),1)," ")</f>
        <v>44136</v>
      </c>
    </row>
    <row r="66" spans="1:52">
      <c r="A66">
        <f>A65+1</f>
        <v>34</v>
      </c>
      <c r="B66" s="128">
        <f>IFERROR(IF(COUNT($A$33:A66)&lt;=$G$38,IF($G$37="Monthly",DATE(YEAR(B65),MONTH(B65)+1,MIN(DAY(B65),28)),B65+14),""),"")</f>
        <v>44185</v>
      </c>
      <c r="C66" s="27">
        <f>IF(B66&lt;&gt;"",IF(COUNT($A$33:A66)&lt;=$G$39,0,$G$41)+IF(COUNT($A$33:A66)&lt;=$G$40,0,$G$42),0)</f>
        <v>71111.11111111111</v>
      </c>
      <c r="D66" s="170">
        <f>IFERROR(DATE(YEAR(B66),MONTH(B66),1)," ")</f>
        <v>44166</v>
      </c>
    </row>
    <row r="67" spans="1:52">
      <c r="A67">
        <f>A66+1</f>
        <v>35</v>
      </c>
      <c r="B67" s="128">
        <f>IFERROR(IF(COUNT($A$33:A67)&lt;=$G$38,IF($G$37="Monthly",DATE(YEAR(B66),MONTH(B66)+1,MIN(DAY(B66),28)),B66+14),""),"")</f>
        <v>44216</v>
      </c>
      <c r="C67" s="27">
        <f>IF(B67&lt;&gt;"",IF(COUNT($A$33:A67)&lt;=$G$39,0,$G$41)+IF(COUNT($A$33:A67)&lt;=$G$40,0,$G$42),0)</f>
        <v>71111.11111111111</v>
      </c>
      <c r="D67" s="170">
        <f>IFERROR(DATE(YEAR(B67),MONTH(B67),1)," ")</f>
        <v>44197</v>
      </c>
    </row>
    <row r="68" spans="1:52">
      <c r="A68">
        <f>A67+1</f>
        <v>36</v>
      </c>
      <c r="B68" s="128">
        <f>IFERROR(IF(COUNT($A$33:A68)&lt;=$G$38,IF($G$37="Monthly",DATE(YEAR(B67),MONTH(B67)+1,MIN(DAY(B67),28)),B67+14),""),"")</f>
        <v>44247</v>
      </c>
      <c r="C68" s="27">
        <f>IF(B68&lt;&gt;"",IF(COUNT($A$33:A68)&lt;=$G$39,0,$G$41)+IF(COUNT($A$33:A68)&lt;=$G$40,0,$G$42),0)</f>
        <v>71111.11111111111</v>
      </c>
      <c r="D68" s="170">
        <f>IFERROR(DATE(YEAR(B68),MONTH(B68),1)," ")</f>
        <v>44228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266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96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95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206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268</v>
      </c>
      <c r="D24" s="115" t="s">
        <v>268</v>
      </c>
      <c r="E24" s="106">
        <v>0.05</v>
      </c>
      <c r="F24" s="106">
        <v>0.1</v>
      </c>
      <c r="G24" s="106">
        <v>0.2</v>
      </c>
      <c r="H24" s="116" t="s">
        <v>268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268</v>
      </c>
      <c r="J25" s="72" t="s">
        <v>268</v>
      </c>
      <c r="K25" s="72" t="s">
        <v>268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268</v>
      </c>
      <c r="D26" s="115" t="s">
        <v>268</v>
      </c>
      <c r="E26" s="106">
        <v>0.2</v>
      </c>
      <c r="F26" s="106">
        <v>0.7</v>
      </c>
      <c r="G26" s="106">
        <v>2</v>
      </c>
      <c r="H26" s="116" t="s">
        <v>268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300</v>
      </c>
      <c r="C27" s="116" t="s">
        <v>268</v>
      </c>
      <c r="D27" s="115" t="s">
        <v>268</v>
      </c>
      <c r="E27" s="106">
        <v>0.15</v>
      </c>
      <c r="F27" s="106">
        <v>0.25</v>
      </c>
      <c r="G27" s="106">
        <v>1</v>
      </c>
      <c r="H27" s="116" t="s">
        <v>268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300</v>
      </c>
      <c r="C28" s="116" t="s">
        <v>268</v>
      </c>
      <c r="D28" s="115" t="s">
        <v>268</v>
      </c>
      <c r="E28" s="106">
        <v>0.15</v>
      </c>
      <c r="F28" s="106">
        <v>0.25</v>
      </c>
      <c r="G28" s="106">
        <v>1</v>
      </c>
      <c r="H28" s="116" t="s">
        <v>268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300</v>
      </c>
      <c r="C29" s="31" t="s">
        <v>268</v>
      </c>
      <c r="D29" s="31" t="s">
        <v>268</v>
      </c>
      <c r="E29" s="24">
        <v>0.1</v>
      </c>
      <c r="F29" s="24">
        <v>0.2</v>
      </c>
      <c r="G29" s="24">
        <v>0</v>
      </c>
      <c r="H29" s="31" t="s">
        <v>268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274</v>
      </c>
      <c r="E52" s="12" t="s">
        <v>274</v>
      </c>
      <c r="F52" s="12" t="s">
        <v>274</v>
      </c>
      <c r="G52" s="12" t="s">
        <v>318</v>
      </c>
      <c r="H52" s="12" t="s">
        <v>319</v>
      </c>
      <c r="I52" s="12" t="s">
        <v>127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234</v>
      </c>
      <c r="E53" s="10" t="s">
        <v>193</v>
      </c>
      <c r="F53" s="10" t="s">
        <v>253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171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230</v>
      </c>
      <c r="J76" s="11" t="s">
        <v>352</v>
      </c>
      <c r="K76" s="11" t="s">
        <v>183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93</v>
      </c>
      <c r="F77" s="12" t="s">
        <v>93</v>
      </c>
      <c r="G77" s="12" t="s">
        <v>354</v>
      </c>
      <c r="H77" s="12" t="s">
        <v>319</v>
      </c>
      <c r="I77" s="12" t="s">
        <v>355</v>
      </c>
      <c r="J77" s="136" t="s">
        <v>356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360</v>
      </c>
      <c r="H78" s="12" t="s">
        <v>127</v>
      </c>
      <c r="I78" s="12" t="s">
        <v>361</v>
      </c>
      <c r="J78" s="70" t="s">
        <v>362</v>
      </c>
      <c r="K78" s="12" t="s">
        <v>93</v>
      </c>
      <c r="AJ78" s="12"/>
    </row>
    <row r="79" spans="1:36">
      <c r="B79" s="176">
        <v>10</v>
      </c>
      <c r="C79" s="12" t="s">
        <v>155</v>
      </c>
      <c r="D79" s="12">
        <v>1</v>
      </c>
      <c r="E79" s="12" t="s">
        <v>363</v>
      </c>
      <c r="F79" s="12" t="s">
        <v>364</v>
      </c>
      <c r="G79" s="12" t="s">
        <v>365</v>
      </c>
      <c r="I79" s="12" t="s">
        <v>171</v>
      </c>
      <c r="J79" s="70" t="s">
        <v>366</v>
      </c>
      <c r="K79" s="12" t="s">
        <v>93</v>
      </c>
      <c r="AJ79" s="12"/>
    </row>
    <row r="80" spans="1:36">
      <c r="B80" s="176">
        <v>20</v>
      </c>
      <c r="C80" s="12" t="s">
        <v>154</v>
      </c>
      <c r="D80" s="12">
        <f>D79+1</f>
        <v>2</v>
      </c>
      <c r="E80" s="12" t="s">
        <v>91</v>
      </c>
      <c r="F80" s="12" t="s">
        <v>367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372</v>
      </c>
      <c r="D85" s="12">
        <f>D84+1</f>
        <v>7</v>
      </c>
    </row>
    <row r="86" spans="1:36">
      <c r="B86" s="176">
        <v>80</v>
      </c>
      <c r="C86" s="12" t="s">
        <v>373</v>
      </c>
      <c r="D86" s="12">
        <f>D85+1</f>
        <v>8</v>
      </c>
    </row>
    <row r="87" spans="1:36">
      <c r="B87" s="176">
        <v>89.99999999999999</v>
      </c>
      <c r="C87" s="12" t="s">
        <v>159</v>
      </c>
      <c r="D87" s="12">
        <f>D86+1</f>
        <v>9</v>
      </c>
    </row>
    <row r="88" spans="1:36">
      <c r="B88" s="176">
        <v>99.99999999999999</v>
      </c>
      <c r="C88" s="12" t="s">
        <v>158</v>
      </c>
      <c r="D88" s="12">
        <f>D87+1</f>
        <v>10</v>
      </c>
    </row>
    <row r="89" spans="1:36">
      <c r="C89" s="12" t="s">
        <v>157</v>
      </c>
      <c r="D89" s="12">
        <f>D88+1</f>
        <v>11</v>
      </c>
    </row>
    <row r="90" spans="1:36">
      <c r="C90" s="12" t="s">
        <v>156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