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<sst xmlns="http://schemas.openxmlformats.org/spreadsheetml/2006/main" uniqueCount="366">
  <si>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</si>
  <si>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</si>
  <si>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</si>
  <si>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</si>
  <si>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</si>
  <si>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</si>
  <si>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</si>
  <si>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</si>
  <si>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</si>
  <si>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</si>
  <si>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</si>
  <si>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</si>
  <si>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</si>
  <si>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</si>
  <si>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</si>
  <si>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</si>
  <si>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</si>
  <si>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</si>
  <si>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</si>
  <si>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</si>
  <si>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</si>
  <si>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</si>
  <si>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</si>
  <si>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</si>
  <si>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</si>
  <si>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</si>
  <si>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</si>
  <si>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</si>
  <si>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</si>
  <si>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</si>
  <si>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</si>
  <si>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</si>
  <si>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</si>
  <si>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</si>
  <si>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</si>
  <si>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</si>
  <si>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</si>
  <si>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</si>
  <si>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</si>
  <si>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</si>
  <si>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</si>
  <si>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</si>
  <si>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</si>
  <si>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</si>
  <si>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</si>
  <si>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</si>
  <si>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</si>
  <si>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</si>
  <si>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</si>
  <si>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</si>
  <si>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</si>
  <si>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</si>
  <si>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</si>
  <si>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</si>
  <si>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</si>
  <si>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</si>
  <si>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</si>
  <si>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</si>
  <si>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</si>
  <si>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</si>
  <si>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</si>
  <si>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</si>
  <si>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</si>
  <si>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</si>
  <si>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</si>
  <si>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</si>
  <si>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</si>
  <si>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</si>
  <si>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</si>
  <si>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</si>
  <si>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</si>
  <si>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</si>
  <si>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</si>
  <si>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</si>
  <si>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</si>
  <si>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</si>
  <si>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</si>
  <si>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</si>
  <si>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</si>
  <si>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</si>
  <si>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</si>
  <si>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</si>
  <si>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</si>
  <si>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</si>
  <si>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</si>
  <si>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</si>
  <si>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</si>
  <si>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</si>
  <si>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</si>
  <si>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</si>
  <si>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Home recycled</t>
  </si>
  <si>
    <t>Yes only manure</t>
  </si>
  <si>
    <t>Yes</t>
  </si>
  <si>
    <t>Yes using a solar pump</t>
  </si>
  <si>
    <t>May</t>
  </si>
  <si>
    <t>Onions</t>
  </si>
  <si>
    <t>Other farmers</t>
  </si>
  <si>
    <t>Yes Inorganic fertizers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</si>
  <si>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</si>
  <si>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</si>
  <si>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</si>
  <si>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</si>
  <si>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</si>
  <si>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</si>
  <si>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</si>
  <si>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</si>
  <si>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</si>
  <si>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</si>
  <si>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</si>
  <si>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</si>
  <si>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</si>
  <si>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</si>
  <si>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</si>
  <si>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</si>
  <si>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</si>
  <si>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</si>
  <si>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nurse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</si>
  <si>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</si>
  <si>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</si>
  <si>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</si>
  <si>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</si>
  <si>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</si>
  <si>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</si>
  <si>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</si>
  <si>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</si>
  <si>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</si>
  <si>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</si>
  <si>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</si>
  <si>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</si>
  <si>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</si>
  <si>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</si>
  <si>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</si>
  <si>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</si>
  <si>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</si>
  <si>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</si>
  <si>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</si>
  <si>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</si>
  <si>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</si>
  <si>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</si>
  <si>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</si>
  <si>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</si>
  <si>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</si>
  <si>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</si>
  <si>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</si>
  <si>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</si>
  <si>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</si>
  <si>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</si>
  <si>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</si>
  <si>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</si>
  <si>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</si>
  <si>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</si>
  <si>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</si>
  <si>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</si>
  <si>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</si>
  <si>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</si>
  <si>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</si>
  <si>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2018/3/8</t>
  </si>
  <si>
    <t>Loan terms</t>
  </si>
  <si>
    <t>Expected disbursement date</t>
  </si>
  <si>
    <t>Expected first repayment date</t>
  </si>
  <si>
    <t>2018/4/16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</si>
  <si>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</si>
  <si>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</si>
  <si>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</si>
  <si>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</si>
  <si>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</si>
  <si>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</si>
  <si>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</si>
  <si>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</si>
  <si>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</si>
  <si>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</si>
  <si>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</si>
  <si>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</si>
  <si>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</si>
  <si>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</si>
  <si>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</si>
  <si>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</si>
  <si>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</si>
  <si>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</si>
  <si>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</si>
  <si>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</si>
  <si>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</si>
  <si>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</si>
  <si>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</si>
  <si>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</si>
  <si>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</si>
  <si>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</si>
  <si>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</si>
  <si>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</si>
  <si>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</si>
  <si>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</si>
  <si>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</si>
  <si>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</si>
  <si>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</si>
  <si>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</si>
  <si>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</si>
  <si>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</si>
  <si>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</si>
  <si>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</si>
  <si>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</si>
  <si>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</si>
  <si>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</si>
  <si>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</si>
  <si>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</si>
  <si>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</si>
  <si>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</si>
  <si>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</si>
  <si>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</si>
  <si>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</si>
  <si>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</si>
  <si>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</si>
  <si>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</si>
  <si>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</si>
  <si>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</si>
  <si>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</si>
  <si>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</si>
  <si>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</si>
  <si>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</si>
  <si>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</si>
  <si>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</si>
  <si>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</si>
  <si>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</si>
  <si>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</si>
  <si>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</si>
  <si>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</si>
  <si>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</si>
  <si>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</si>
  <si>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</si>
  <si>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</si>
  <si>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</si>
  <si>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</si>
  <si>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</si>
  <si>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</si>
  <si>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</si>
  <si>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</si>
  <si>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</si>
  <si>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</si>
  <si>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</si>
  <si>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</si>
  <si>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</si>
  <si>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</si>
  <si>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</si>
  <si>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</si>
  <si>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</si>
  <si>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</si>
  <si>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</si>
  <si>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</si>
  <si>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</si>
  <si>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</si>
  <si>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</si>
  <si>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</si>
  <si>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</si>
  <si>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</si>
  <si>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</si>
  <si>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</si>
  <si>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</si>
  <si>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</si>
  <si>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</si>
  <si>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</si>
  <si>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</si>
  <si>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</si>
  <si>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</si>
  <si>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</si>
  <si>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</si>
  <si>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</si>
  <si>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</si>
  <si>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</si>
  <si>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</si>
  <si>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</si>
  <si>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</si>
  <si>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</si>
  <si>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</si>
  <si>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</si>
  <si>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</si>
  <si>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</si>
  <si>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</si>
  <si>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</si>
  <si>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</si>
  <si>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</si>
  <si>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</si>
  <si>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</si>
  <si>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</si>
  <si>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</si>
  <si>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</si>
  <si>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</si>
  <si>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</si>
  <si>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</si>
  <si>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</si>
  <si>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</si>
  <si>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</si>
  <si>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</si>
  <si>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</si>
  <si>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</si>
  <si>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</si>
  <si>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</si>
  <si>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</si>
  <si>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</si>
  <si>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</si>
  <si>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</si>
  <si>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</si>
  <si>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</si>
  <si>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</si>
  <si>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</si>
  <si>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</si>
  <si>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</si>
  <si>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</si>
  <si>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</si>
  <si>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</si>
  <si>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</si>
  <si>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</si>
  <si>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</si>
  <si>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</si>
  <si>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</si>
  <si>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</si>
  <si>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</si>
  <si>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</si>
  <si>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</si>
  <si>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</si>
  <si>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</si>
  <si>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</si>
  <si>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</si>
  <si>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</si>
  <si>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</si>
  <si>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</si>
  <si>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</si>
  <si>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</si>
  <si>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</si>
  <si>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</si>
  <si>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</si>
  <si>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</si>
  <si>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</si>
  <si>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</si>
  <si>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</si>
  <si>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</si>
  <si>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</si>
  <si>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</si>
  <si>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</si>
  <si>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</si>
  <si>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</si>
  <si>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</si>
  <si>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</si>
  <si>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</si>
  <si>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</si>
  <si>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</si>
  <si>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</si>
  <si>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</si>
  <si>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</si>
  <si>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</si>
  <si>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</si>
  <si>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</si>
  <si>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</si>
  <si>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</si>
  <si>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</si>
  <si>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Sometimes</t>
  </si>
  <si>
    <t>Weeks</t>
  </si>
  <si>
    <t>Yes inorganic fertilizers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</si>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</sst>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Onions,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nurse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0.3180202585859315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0.006296911994357967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22222.22222222222</v>
      </c>
    </row>
    <row r="17" spans="1:7">
      <c r="B17" s="1" t="s">
        <v>11</v>
      </c>
      <c r="C17" s="36">
        <f>SUM(Output!B6:M6)</f>
        <v>601607.401750647</v>
      </c>
    </row>
    <row r="18" spans="1:7">
      <c r="B18" s="1" t="s">
        <v>12</v>
      </c>
      <c r="C18" s="36">
        <f>MIN(Output!B6:M6)</f>
        <v>-20622.63343059151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2019</v>
      </c>
    </row>
    <row r="20" spans="1:7">
      <c r="B20" s="1" t="s">
        <v>14</v>
      </c>
      <c r="C20" s="36">
        <f>MAX(Output!B6:M6)</f>
        <v>251923.8305404398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105370.4040572498</v>
      </c>
      <c r="C6" s="51">
        <f>C30-C88</f>
        <v>-11122.63343059151</v>
      </c>
      <c r="D6" s="51">
        <f>D30-D88</f>
        <v>-15122.63343059151</v>
      </c>
      <c r="E6" s="51">
        <f>E30-E88</f>
        <v>-9622.633430591508</v>
      </c>
      <c r="F6" s="51">
        <f>F30-F88</f>
        <v>-20622.63343059151</v>
      </c>
      <c r="G6" s="51">
        <f>G30-G88</f>
        <v>251923.8305404398</v>
      </c>
      <c r="H6" s="51">
        <f>H30-H88</f>
        <v>105370.4040572498</v>
      </c>
      <c r="I6" s="51">
        <f>I30-I88</f>
        <v>-11122.63343059151</v>
      </c>
      <c r="J6" s="51">
        <f>J30-J88</f>
        <v>-15122.63343059151</v>
      </c>
      <c r="K6" s="51">
        <f>K30-K88</f>
        <v>-9622.633430591508</v>
      </c>
      <c r="L6" s="51">
        <f>L30-L88</f>
        <v>-20622.63343059151</v>
      </c>
      <c r="M6" s="51">
        <f>M30-M88</f>
        <v>251923.8305404398</v>
      </c>
      <c r="N6" s="51">
        <f>N30-N88</f>
        <v>105370.4040572498</v>
      </c>
      <c r="O6" s="51">
        <f>O30-O88</f>
        <v>-11122.63343059151</v>
      </c>
      <c r="P6" s="51">
        <f>P30-P88</f>
        <v>-15122.63343059151</v>
      </c>
      <c r="Q6" s="51">
        <f>Q30-Q88</f>
        <v>-9622.633430591508</v>
      </c>
      <c r="R6" s="51">
        <f>R30-R88</f>
        <v>-20622.63343059151</v>
      </c>
      <c r="S6" s="51">
        <f>S30-S88</f>
        <v>251923.8305404398</v>
      </c>
      <c r="T6" s="51">
        <f>T30-T88</f>
        <v>105370.4040572498</v>
      </c>
      <c r="U6" s="51">
        <f>U30-U88</f>
        <v>-11122.63343059151</v>
      </c>
      <c r="V6" s="51">
        <f>V30-V88</f>
        <v>-15122.63343059151</v>
      </c>
      <c r="W6" s="51">
        <f>W30-W88</f>
        <v>-9622.633430591508</v>
      </c>
      <c r="X6" s="51">
        <f>X30-X88</f>
        <v>-20622.63343059151</v>
      </c>
      <c r="Y6" s="51">
        <f>Y30-Y88</f>
        <v>251923.8305404398</v>
      </c>
      <c r="Z6" s="51">
        <f>SUMIF($B$13:$Y$13,"Yes",B6:Y6)</f>
        <v>1007781.50668322</v>
      </c>
      <c r="AA6" s="51">
        <f>AA30-AA88</f>
        <v>601607.4017506472</v>
      </c>
      <c r="AB6" s="51">
        <f>AB30-AB88</f>
        <v>1203214.803501294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36627</v>
      </c>
      <c r="I7" s="80">
        <f>IF(ISERROR(VLOOKUP(MONTH(I5),Inputs!$D$66:$D$71,1,0)),"",INDEX(Inputs!$B$66:$B$71,MATCH(MONTH(Output!I5),Inputs!$D$66:$D$71,0))-INDEX(Inputs!$C$66:$C$71,MATCH(MONTH(Output!I5),Inputs!$D$66:$D$71,0)))</f>
        <v>35584</v>
      </c>
      <c r="J7" s="80">
        <f>IF(ISERROR(VLOOKUP(MONTH(J5),Inputs!$D$66:$D$71,1,0)),"",INDEX(Inputs!$B$66:$B$71,MATCH(MONTH(Output!J5),Inputs!$D$66:$D$71,0))-INDEX(Inputs!$C$66:$C$71,MATCH(MONTH(Output!J5),Inputs!$D$66:$D$71,0)))</f>
        <v>30679</v>
      </c>
      <c r="K7" s="80">
        <f>IF(ISERROR(VLOOKUP(MONTH(K5),Inputs!$D$66:$D$71,1,0)),"",INDEX(Inputs!$B$66:$B$71,MATCH(MONTH(Output!K5),Inputs!$D$66:$D$71,0))-INDEX(Inputs!$C$66:$C$71,MATCH(MONTH(Output!K5),Inputs!$D$66:$D$71,0)))</f>
        <v>35131</v>
      </c>
      <c r="L7" s="80">
        <f>IF(ISERROR(VLOOKUP(MONTH(L5),Inputs!$D$66:$D$71,1,0)),"",INDEX(Inputs!$B$66:$B$71,MATCH(MONTH(Output!L5),Inputs!$D$66:$D$71,0))-INDEX(Inputs!$C$66:$C$71,MATCH(MONTH(Output!L5),Inputs!$D$66:$D$71,0)))</f>
        <v>50976</v>
      </c>
      <c r="M7" s="80">
        <f>IF(ISERROR(VLOOKUP(MONTH(M5),Inputs!$D$66:$D$71,1,0)),"",INDEX(Inputs!$B$66:$B$71,MATCH(MONTH(Output!M5),Inputs!$D$66:$D$71,0))-INDEX(Inputs!$C$66:$C$71,MATCH(MONTH(Output!M5),Inputs!$D$66:$D$71,0)))</f>
        <v>26495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36627</v>
      </c>
      <c r="U7" s="80">
        <f>IF(ISERROR(VLOOKUP(MONTH(U5),Inputs!$D$66:$D$71,1,0)),"",INDEX(Inputs!$B$66:$B$71,MATCH(MONTH(Output!U5),Inputs!$D$66:$D$71,0))-INDEX(Inputs!$C$66:$C$71,MATCH(MONTH(Output!U5),Inputs!$D$66:$D$71,0)))</f>
        <v>35584</v>
      </c>
      <c r="V7" s="80">
        <f>IF(ISERROR(VLOOKUP(MONTH(V5),Inputs!$D$66:$D$71,1,0)),"",INDEX(Inputs!$B$66:$B$71,MATCH(MONTH(Output!V5),Inputs!$D$66:$D$71,0))-INDEX(Inputs!$C$66:$C$71,MATCH(MONTH(Output!V5),Inputs!$D$66:$D$71,0)))</f>
        <v>30679</v>
      </c>
      <c r="W7" s="80">
        <f>IF(ISERROR(VLOOKUP(MONTH(W5),Inputs!$D$66:$D$71,1,0)),"",INDEX(Inputs!$B$66:$B$71,MATCH(MONTH(Output!W5),Inputs!$D$66:$D$71,0))-INDEX(Inputs!$C$66:$C$71,MATCH(MONTH(Output!W5),Inputs!$D$66:$D$71,0)))</f>
        <v>35131</v>
      </c>
      <c r="X7" s="80">
        <f>IF(ISERROR(VLOOKUP(MONTH(X5),Inputs!$D$66:$D$71,1,0)),"",INDEX(Inputs!$B$66:$B$71,MATCH(MONTH(Output!X5),Inputs!$D$66:$D$71,0))-INDEX(Inputs!$C$66:$C$71,MATCH(MONTH(Output!X5),Inputs!$D$66:$D$71,0)))</f>
        <v>50976</v>
      </c>
      <c r="Y7" s="80">
        <f>IF(ISERROR(VLOOKUP(MONTH(Y5),Inputs!$D$66:$D$71,1,0)),"",INDEX(Inputs!$B$66:$B$71,MATCH(MONTH(Output!Y5),Inputs!$D$66:$D$71,0))-INDEX(Inputs!$C$66:$C$71,MATCH(MONTH(Output!Y5),Inputs!$D$66:$D$71,0)))</f>
        <v>26495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22222.22222222222</v>
      </c>
      <c r="D10" s="37">
        <f>SUMPRODUCT((Calculations!$D$33:$D$84=Output!D5)+0,Calculations!$C$33:$C$84)</f>
        <v>22222.22222222222</v>
      </c>
      <c r="E10" s="37">
        <f>SUMPRODUCT((Calculations!$D$33:$D$84=Output!E5)+0,Calculations!$C$33:$C$84)</f>
        <v>22222.22222222222</v>
      </c>
      <c r="F10" s="37">
        <f>SUMPRODUCT((Calculations!$D$33:$D$84=Output!F5)+0,Calculations!$C$33:$C$84)</f>
        <v>22222.22222222222</v>
      </c>
      <c r="G10" s="37">
        <f>SUMPRODUCT((Calculations!$D$33:$D$84=Output!G5)+0,Calculations!$C$33:$C$84)</f>
        <v>22222.22222222222</v>
      </c>
      <c r="H10" s="37">
        <f>SUMPRODUCT((Calculations!$D$33:$D$84=Output!H5)+0,Calculations!$C$33:$C$84)</f>
        <v>22222.22222222222</v>
      </c>
      <c r="I10" s="37">
        <f>SUMPRODUCT((Calculations!$D$33:$D$84=Output!I5)+0,Calculations!$C$33:$C$84)</f>
        <v>22222.22222222222</v>
      </c>
      <c r="J10" s="37">
        <f>SUMPRODUCT((Calculations!$D$33:$D$84=Output!J5)+0,Calculations!$C$33:$C$84)</f>
        <v>22222.22222222222</v>
      </c>
      <c r="K10" s="37">
        <f>SUMPRODUCT((Calculations!$D$33:$D$84=Output!K5)+0,Calculations!$C$33:$C$84)</f>
        <v>22222.22222222222</v>
      </c>
      <c r="L10" s="37">
        <f>SUMPRODUCT((Calculations!$D$33:$D$84=Output!L5)+0,Calculations!$C$33:$C$84)</f>
        <v>22222.22222222222</v>
      </c>
      <c r="M10" s="37">
        <f>SUMPRODUCT((Calculations!$D$33:$D$84=Output!M5)+0,Calculations!$C$33:$C$84)</f>
        <v>22222.22222222222</v>
      </c>
      <c r="N10" s="37">
        <f>SUMPRODUCT((Calculations!$D$33:$D$84=Output!N5)+0,Calculations!$C$33:$C$84)</f>
        <v>22222.22222222222</v>
      </c>
      <c r="O10" s="37">
        <f>SUMPRODUCT((Calculations!$D$33:$D$84=Output!O5)+0,Calculations!$C$33:$C$84)</f>
        <v>22222.22222222222</v>
      </c>
      <c r="P10" s="37">
        <f>SUMPRODUCT((Calculations!$D$33:$D$84=Output!P5)+0,Calculations!$C$33:$C$84)</f>
        <v>22222.22222222222</v>
      </c>
      <c r="Q10" s="37">
        <f>SUMPRODUCT((Calculations!$D$33:$D$84=Output!Q5)+0,Calculations!$C$33:$C$84)</f>
        <v>22222.22222222222</v>
      </c>
      <c r="R10" s="37">
        <f>SUMPRODUCT((Calculations!$D$33:$D$84=Output!R5)+0,Calculations!$C$33:$C$84)</f>
        <v>22222.22222222222</v>
      </c>
      <c r="S10" s="37">
        <f>SUMPRODUCT((Calculations!$D$33:$D$84=Output!S5)+0,Calculations!$C$33:$C$84)</f>
        <v>22222.22222222222</v>
      </c>
      <c r="T10" s="37">
        <f>SUMPRODUCT((Calculations!$D$33:$D$84=Output!T5)+0,Calculations!$C$33:$C$84)</f>
        <v>22222.22222222222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400000.0000000002</v>
      </c>
      <c r="AA10" s="37">
        <f>SUM(B10:M10)</f>
        <v>244444.4444444444</v>
      </c>
      <c r="AB10" s="37">
        <f>SUM(B10:Y10)</f>
        <v>400000.0000000002</v>
      </c>
    </row>
    <row r="11" spans="1:30" customHeight="1" ht="15.75">
      <c r="A11" s="43" t="s">
        <v>31</v>
      </c>
      <c r="B11" s="80">
        <f>B6+B9-B10</f>
        <v>355370.4040572498</v>
      </c>
      <c r="C11" s="80">
        <f>C6+C9-C10</f>
        <v>-33344.85565281373</v>
      </c>
      <c r="D11" s="80">
        <f>D6+D9-D10</f>
        <v>-37344.85565281373</v>
      </c>
      <c r="E11" s="80">
        <f>E6+E9-E10</f>
        <v>-31844.85565281373</v>
      </c>
      <c r="F11" s="80">
        <f>F6+F9-F10</f>
        <v>-42844.85565281373</v>
      </c>
      <c r="G11" s="80">
        <f>G6+G9-G10</f>
        <v>229701.6083182175</v>
      </c>
      <c r="H11" s="80">
        <f>H6+H9-H10</f>
        <v>83148.18183502754</v>
      </c>
      <c r="I11" s="80">
        <f>I6+I9-I10</f>
        <v>-33344.85565281373</v>
      </c>
      <c r="J11" s="80">
        <f>J6+J9-J10</f>
        <v>-37344.85565281373</v>
      </c>
      <c r="K11" s="80">
        <f>K6+K9-K10</f>
        <v>-31844.85565281373</v>
      </c>
      <c r="L11" s="80">
        <f>L6+L9-L10</f>
        <v>-42844.85565281373</v>
      </c>
      <c r="M11" s="80">
        <f>M6+M9-M10</f>
        <v>229701.6083182175</v>
      </c>
      <c r="N11" s="80">
        <f>N6+N9-N10</f>
        <v>83148.18183502754</v>
      </c>
      <c r="O11" s="80">
        <f>O6+O9-O10</f>
        <v>-33344.85565281373</v>
      </c>
      <c r="P11" s="80">
        <f>P6+P9-P10</f>
        <v>-37344.85565281373</v>
      </c>
      <c r="Q11" s="80">
        <f>Q6+Q9-Q10</f>
        <v>-31844.85565281373</v>
      </c>
      <c r="R11" s="80">
        <f>R6+R9-R10</f>
        <v>-42844.85565281373</v>
      </c>
      <c r="S11" s="80">
        <f>S6+S9-S10</f>
        <v>229701.6083182175</v>
      </c>
      <c r="T11" s="80">
        <f>T6+T9-T10</f>
        <v>83148.18183502754</v>
      </c>
      <c r="U11" s="80">
        <f>U6+U9-U10</f>
        <v>-11122.63343059151</v>
      </c>
      <c r="V11" s="80">
        <f>V6+V9-V10</f>
        <v>-15122.63343059151</v>
      </c>
      <c r="W11" s="80">
        <f>W6+W9-W10</f>
        <v>-9622.633430591508</v>
      </c>
      <c r="X11" s="80">
        <f>X6+X9-X10</f>
        <v>-20622.63343059151</v>
      </c>
      <c r="Y11" s="80">
        <f>Y6+Y9-Y10</f>
        <v>251923.8305404398</v>
      </c>
      <c r="Z11" s="85">
        <f>SUMIF($B$13:$Y$13,"Yes",B11:Y11)</f>
        <v>857781.5066832204</v>
      </c>
      <c r="AA11" s="80">
        <f>SUM(B11:M11)</f>
        <v>607162.9573062025</v>
      </c>
      <c r="AB11" s="46">
        <f>SUM(B11:Y11)</f>
        <v>1053214.803501294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0.06455298804628294</v>
      </c>
      <c r="D12" s="82">
        <f>IF(D13="Yes",IF(SUM($B$10:D10)/(SUM($B$6:D6)+SUM($B$9:D9))&lt;0,999.99,SUM($B$10:D10)/(SUM($B$6:D6)+SUM($B$9:D9))),"")</f>
        <v>0.1350381341974738</v>
      </c>
      <c r="E12" s="82">
        <f>IF(E13="Yes",IF(SUM($B$10:E10)/(SUM($B$6:E6)+SUM($B$9:E9))&lt;0,999.99,SUM($B$10:E10)/(SUM($B$6:E6)+SUM($B$9:E9))),"")</f>
        <v>0.2086577284402193</v>
      </c>
      <c r="F12" s="82">
        <f>IF(F13="Yes",IF(SUM($B$10:F10)/(SUM($B$6:F6)+SUM($B$9:F9))&lt;0,999.99,SUM($B$10:F10)/(SUM($B$6:F6)+SUM($B$9:F9))),"")</f>
        <v>0.297406743349066</v>
      </c>
      <c r="G12" s="82">
        <f>IF(G13="Yes",IF(SUM($B$10:G10)/(SUM($B$6:G6)+SUM($B$9:G9))&lt;0,999.99,SUM($B$10:G10)/(SUM($B$6:G6)+SUM($B$9:G9))),"")</f>
        <v>0.201725425835985</v>
      </c>
      <c r="H12" s="82">
        <f>IF(H13="Yes",IF(SUM($B$10:H10)/(SUM($B$6:H6)+SUM($B$9:H9))&lt;0,999.99,SUM($B$10:H10)/(SUM($B$6:H6)+SUM($B$9:H9))),"")</f>
        <v>0.2031981029593271</v>
      </c>
      <c r="I12" s="82">
        <f>IF(I13="Yes",IF(SUM($B$10:I10)/(SUM($B$6:I6)+SUM($B$9:I9))&lt;0,999.99,SUM($B$10:I10)/(SUM($B$6:I6)+SUM($B$9:I9))),"")</f>
        <v>0.2411521598320664</v>
      </c>
      <c r="J12" s="82">
        <f>IF(J13="Yes",IF(SUM($B$10:J10)/(SUM($B$6:J6)+SUM($B$9:J9))&lt;0,999.99,SUM($B$10:J10)/(SUM($B$6:J6)+SUM($B$9:J9))),"")</f>
        <v>0.2822188270060278</v>
      </c>
      <c r="K12" s="82">
        <f>IF(K13="Yes",IF(SUM($B$10:K10)/(SUM($B$6:K6)+SUM($B$9:K9))&lt;0,999.99,SUM($B$10:K10)/(SUM($B$6:K6)+SUM($B$9:K9))),"")</f>
        <v>0.3224214081750386</v>
      </c>
      <c r="L12" s="82">
        <f>IF(L13="Yes",IF(SUM($B$10:L10)/(SUM($B$6:L6)+SUM($B$9:L9))&lt;0,999.99,SUM($B$10:L10)/(SUM($B$6:L6)+SUM($B$9:L9))),"")</f>
        <v>0.3705657998496787</v>
      </c>
      <c r="M12" s="82">
        <f>IF(M13="Yes",IF(SUM($B$10:M10)/(SUM($B$6:M6)+SUM($B$9:M9))&lt;0,999.99,SUM($B$10:M10)/(SUM($B$6:M6)+SUM($B$9:M9))),"")</f>
        <v>0.2870388913270842</v>
      </c>
      <c r="N12" s="82">
        <f>IF(N13="Yes",IF(SUM($B$10:N10)/(SUM($B$6:N6)+SUM($B$9:N9))&lt;0,999.99,SUM($B$10:N10)/(SUM($B$6:N6)+SUM($B$9:N9))),"")</f>
        <v>0.278655016917077</v>
      </c>
      <c r="O12" s="82">
        <f>IF(O13="Yes",IF(SUM($B$10:O10)/(SUM($B$6:O6)+SUM($B$9:O9))&lt;0,999.99,SUM($B$10:O10)/(SUM($B$6:O6)+SUM($B$9:O9))),"")</f>
        <v>0.3054261342809997</v>
      </c>
      <c r="P12" s="82">
        <f>IF(P13="Yes",IF(SUM($B$10:P10)/(SUM($B$6:P6)+SUM($B$9:P9))&lt;0,999.99,SUM($B$10:P10)/(SUM($B$6:P6)+SUM($B$9:P9))),"")</f>
        <v>0.3342647840196795</v>
      </c>
      <c r="Q12" s="82">
        <f>IF(Q13="Yes",IF(SUM($B$10:Q10)/(SUM($B$6:Q6)+SUM($B$9:Q9))&lt;0,999.99,SUM($B$10:Q10)/(SUM($B$6:Q6)+SUM($B$9:Q9))),"")</f>
        <v>0.3618822589325624</v>
      </c>
      <c r="R12" s="82">
        <f>IF(R13="Yes",IF(SUM($B$10:R10)/(SUM($B$6:R6)+SUM($B$9:R9))&lt;0,999.99,SUM($B$10:R10)/(SUM($B$6:R6)+SUM($B$9:R9))),"")</f>
        <v>0.394847952411463</v>
      </c>
      <c r="S12" s="82">
        <f>IF(S13="Yes",IF(SUM($B$10:S10)/(SUM($B$6:S6)+SUM($B$9:S9))&lt;0,999.99,SUM($B$10:S10)/(SUM($B$6:S6)+SUM($B$9:S9))),"")</f>
        <v>0.3278151146903611</v>
      </c>
      <c r="T12" s="82">
        <f>IF(T13="Yes",IF(SUM($B$10:T10)/(SUM($B$6:T6)+SUM($B$9:T9))&lt;0,999.99,SUM($B$10:T10)/(SUM($B$6:T6)+SUM($B$9:T9))),"")</f>
        <v>0.3180202585859315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261546.4639710312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261546.4639710312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261546.4639710312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261546.4639710312</v>
      </c>
      <c r="Z18" s="36">
        <f>SUMIF($B$13:$Y$13,"Yes",B18:Y18)</f>
        <v>784639.3919130937</v>
      </c>
      <c r="AA18" s="36">
        <f>SUM(B18:M18)</f>
        <v>523092.9279420625</v>
      </c>
      <c r="AB18" s="36">
        <f>SUM(B18:Y18)</f>
        <v>1046185.855884125</v>
      </c>
      <c r="AC18" s="43"/>
      <c r="AD18" s="43"/>
    </row>
    <row r="19" spans="1:30">
      <c r="A19" t="str">
        <f>IF(Calculations!A5&lt;&gt;Parameters!$A$18,IF(Calculations!A5=0,"",Calculations!A5),Inputs!B8)</f>
        <v>Onions</v>
      </c>
      <c r="B19" s="36">
        <f>N19</f>
        <v>114993.0374878413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114993.0374878413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114993.0374878413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114993.0374878413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459972.149951365</v>
      </c>
      <c r="AA19" s="36">
        <f>SUM(B19:M19)</f>
        <v>229986.0749756825</v>
      </c>
      <c r="AB19" s="36">
        <f>SUM(B19:Y19)</f>
        <v>459972.149951365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475000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139993.0374878413</v>
      </c>
      <c r="C30" s="19">
        <f>SUM(C18:C29)</f>
        <v>25000</v>
      </c>
      <c r="D30" s="19">
        <f>SUM(D18:D29)</f>
        <v>25000</v>
      </c>
      <c r="E30" s="19">
        <f>SUM(E18:E29)</f>
        <v>25000</v>
      </c>
      <c r="F30" s="19">
        <f>SUM(F18:F29)</f>
        <v>25000</v>
      </c>
      <c r="G30" s="19">
        <f>SUM(G18:G29)</f>
        <v>286546.4639710312</v>
      </c>
      <c r="H30" s="19">
        <f>SUM(H18:H29)</f>
        <v>139993.0374878413</v>
      </c>
      <c r="I30" s="19">
        <f>SUM(I18:I29)</f>
        <v>25000</v>
      </c>
      <c r="J30" s="19">
        <f>SUM(J18:J29)</f>
        <v>25000</v>
      </c>
      <c r="K30" s="19">
        <f>SUM(K18:K29)</f>
        <v>25000</v>
      </c>
      <c r="L30" s="19">
        <f>SUM(L18:L29)</f>
        <v>25000</v>
      </c>
      <c r="M30" s="19">
        <f>SUM(M18:M29)</f>
        <v>286546.4639710312</v>
      </c>
      <c r="N30" s="19">
        <f>SUM(N18:N29)</f>
        <v>139993.0374878413</v>
      </c>
      <c r="O30" s="19">
        <f>SUM(O18:O29)</f>
        <v>25000</v>
      </c>
      <c r="P30" s="19">
        <f>SUM(P18:P29)</f>
        <v>25000</v>
      </c>
      <c r="Q30" s="19">
        <f>SUM(Q18:Q29)</f>
        <v>25000</v>
      </c>
      <c r="R30" s="19">
        <f>SUM(R18:R29)</f>
        <v>25000</v>
      </c>
      <c r="S30" s="19">
        <f>SUM(S18:S29)</f>
        <v>286546.4639710312</v>
      </c>
      <c r="T30" s="19">
        <f>SUM(T18:T29)</f>
        <v>139993.0374878413</v>
      </c>
      <c r="U30" s="19">
        <f>SUM(U18:U29)</f>
        <v>25000</v>
      </c>
      <c r="V30" s="19">
        <f>SUM(V18:V29)</f>
        <v>25000</v>
      </c>
      <c r="W30" s="19">
        <f>SUM(W18:W29)</f>
        <v>25000</v>
      </c>
      <c r="X30" s="19">
        <f>SUM(X18:X29)</f>
        <v>25000</v>
      </c>
      <c r="Y30" s="19">
        <f>SUM(Y18:Y29)</f>
        <v>286546.4639710312</v>
      </c>
      <c r="Z30" s="19">
        <f>SUMIF($B$13:$Y$13,"Yes",B30:Y30)</f>
        <v>1719611.541864459</v>
      </c>
      <c r="AA30" s="19">
        <f>SUM(B30:M30)</f>
        <v>1053079.002917745</v>
      </c>
      <c r="AB30" s="19">
        <f>SUM(B30:Y30)</f>
        <v>2106158.00583549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4000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4000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4000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4000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12000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4000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4000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4000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4000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Onions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1500</v>
      </c>
      <c r="D42" s="36">
        <f>P42</f>
        <v>1500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1500</v>
      </c>
      <c r="J42" s="36">
        <f>V42</f>
        <v>1500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1500</v>
      </c>
      <c r="P42" s="36">
        <f>SUM(P43:P47)</f>
        <v>1500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1500</v>
      </c>
      <c r="V42" s="36">
        <f>SUM(V43:V47)</f>
        <v>1500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9000</v>
      </c>
      <c r="AA42" s="36">
        <f>SUM(B42:M42)</f>
        <v>6000</v>
      </c>
      <c r="AB42" s="36">
        <f>SUM(B42:Y42)</f>
        <v>12000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1500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1500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1500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1500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4500</v>
      </c>
      <c r="AA43" s="36">
        <f>SUM(B43:M43)</f>
        <v>3000</v>
      </c>
      <c r="AB43" s="36">
        <f>SUM(B43:Y43)</f>
        <v>6000</v>
      </c>
    </row>
    <row r="44" spans="1:30" hidden="true" outlineLevel="1">
      <c r="A44" s="181" t="str">
        <f>Calculations!$A$5</f>
        <v>Onions</v>
      </c>
      <c r="B44" s="36">
        <f>N44</f>
        <v>0</v>
      </c>
      <c r="C44" s="36">
        <f>O44</f>
        <v>1500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1500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1500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1500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4500</v>
      </c>
      <c r="AA44" s="36">
        <f>SUM(B44:M44)</f>
        <v>3000</v>
      </c>
      <c r="AB44" s="36">
        <f>SUM(B44:Y44)</f>
        <v>6000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11000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11000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11000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11000</v>
      </c>
      <c r="Y48" s="46">
        <f>SUM(Y49:Y53)</f>
        <v>0</v>
      </c>
      <c r="Z48" s="46">
        <f>SUMIF($B$13:$Y$13,"Yes",B48:Y48)</f>
        <v>33000</v>
      </c>
      <c r="AA48" s="46">
        <f>SUM(B48:M48)</f>
        <v>22000</v>
      </c>
      <c r="AB48" s="46">
        <f>SUM(B48:Y48)</f>
        <v>44000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9000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9000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9000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9000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27000</v>
      </c>
      <c r="AA49" s="46">
        <f>SUM(B49:M49)</f>
        <v>18000</v>
      </c>
      <c r="AB49" s="46">
        <f>SUM(B49:Y49)</f>
        <v>36000</v>
      </c>
    </row>
    <row r="50" spans="1:30" hidden="true" outlineLevel="1">
      <c r="A50" s="181" t="str">
        <f>Calculations!$A$5</f>
        <v>Onions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2000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2000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2000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2000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6000</v>
      </c>
      <c r="AA50" s="46">
        <f>SUM(B50:M50)</f>
        <v>4000</v>
      </c>
      <c r="AB50" s="46">
        <f>SUM(B50:Y50)</f>
        <v>8000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Onions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Onions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Onions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</v>
      </c>
      <c r="C79" s="46">
        <f>Inputs!$B$31</f>
        <v>1200</v>
      </c>
      <c r="D79" s="46">
        <f>Inputs!$B$31</f>
        <v>1200</v>
      </c>
      <c r="E79" s="46">
        <f>Inputs!$B$31</f>
        <v>1200</v>
      </c>
      <c r="F79" s="46">
        <f>Inputs!$B$31</f>
        <v>1200</v>
      </c>
      <c r="G79" s="46">
        <f>Inputs!$B$31</f>
        <v>1200</v>
      </c>
      <c r="H79" s="46">
        <f>Inputs!$B$31</f>
        <v>1200</v>
      </c>
      <c r="I79" s="46">
        <f>Inputs!$B$31</f>
        <v>1200</v>
      </c>
      <c r="J79" s="46">
        <f>Inputs!$B$31</f>
        <v>1200</v>
      </c>
      <c r="K79" s="46">
        <f>Inputs!$B$31</f>
        <v>1200</v>
      </c>
      <c r="L79" s="46">
        <f>Inputs!$B$31</f>
        <v>1200</v>
      </c>
      <c r="M79" s="46">
        <f>Inputs!$B$31</f>
        <v>1200</v>
      </c>
      <c r="N79" s="46">
        <f>Inputs!$B$31</f>
        <v>1200</v>
      </c>
      <c r="O79" s="46">
        <f>Inputs!$B$31</f>
        <v>1200</v>
      </c>
      <c r="P79" s="46">
        <f>Inputs!$B$31</f>
        <v>1200</v>
      </c>
      <c r="Q79" s="46">
        <f>Inputs!$B$31</f>
        <v>1200</v>
      </c>
      <c r="R79" s="46">
        <f>Inputs!$B$31</f>
        <v>1200</v>
      </c>
      <c r="S79" s="46">
        <f>Inputs!$B$31</f>
        <v>1200</v>
      </c>
      <c r="T79" s="46">
        <f>Inputs!$B$31</f>
        <v>1200</v>
      </c>
      <c r="U79" s="46">
        <f>Inputs!$B$31</f>
        <v>1200</v>
      </c>
      <c r="V79" s="46">
        <f>Inputs!$B$31</f>
        <v>1200</v>
      </c>
      <c r="W79" s="46">
        <f>Inputs!$B$31</f>
        <v>1200</v>
      </c>
      <c r="X79" s="46">
        <f>Inputs!$B$31</f>
        <v>1200</v>
      </c>
      <c r="Y79" s="46">
        <f>Inputs!$B$31</f>
        <v>1200</v>
      </c>
      <c r="Z79" s="46">
        <f>SUMIF($B$13:$Y$13,"Yes",B79:Y79)</f>
        <v>22800</v>
      </c>
      <c r="AA79" s="46">
        <f>SUM(B79:M79)</f>
        <v>14400</v>
      </c>
      <c r="AB79" s="46">
        <f>SUM(B79:Y79)</f>
        <v>28800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33422.63343059151</v>
      </c>
      <c r="C81" s="46">
        <f>(SUM($AA$18:$AA$29)-SUM($AA$36,$AA$42,$AA$48,$AA$54,$AA$60,$AA$66,$AA$72:$AA$79))*Parameters!$B$37/12</f>
        <v>33422.63343059151</v>
      </c>
      <c r="D81" s="46">
        <f>(SUM($AA$18:$AA$29)-SUM($AA$36,$AA$42,$AA$48,$AA$54,$AA$60,$AA$66,$AA$72:$AA$79))*Parameters!$B$37/12</f>
        <v>33422.63343059151</v>
      </c>
      <c r="E81" s="46">
        <f>(SUM($AA$18:$AA$29)-SUM($AA$36,$AA$42,$AA$48,$AA$54,$AA$60,$AA$66,$AA$72:$AA$79))*Parameters!$B$37/12</f>
        <v>33422.63343059151</v>
      </c>
      <c r="F81" s="46">
        <f>(SUM($AA$18:$AA$29)-SUM($AA$36,$AA$42,$AA$48,$AA$54,$AA$60,$AA$66,$AA$72:$AA$79))*Parameters!$B$37/12</f>
        <v>33422.63343059151</v>
      </c>
      <c r="G81" s="46">
        <f>(SUM($AA$18:$AA$29)-SUM($AA$36,$AA$42,$AA$48,$AA$54,$AA$60,$AA$66,$AA$72:$AA$79))*Parameters!$B$37/12</f>
        <v>33422.63343059151</v>
      </c>
      <c r="H81" s="46">
        <f>(SUM($AA$18:$AA$29)-SUM($AA$36,$AA$42,$AA$48,$AA$54,$AA$60,$AA$66,$AA$72:$AA$79))*Parameters!$B$37/12</f>
        <v>33422.63343059151</v>
      </c>
      <c r="I81" s="46">
        <f>(SUM($AA$18:$AA$29)-SUM($AA$36,$AA$42,$AA$48,$AA$54,$AA$60,$AA$66,$AA$72:$AA$79))*Parameters!$B$37/12</f>
        <v>33422.63343059151</v>
      </c>
      <c r="J81" s="46">
        <f>(SUM($AA$18:$AA$29)-SUM($AA$36,$AA$42,$AA$48,$AA$54,$AA$60,$AA$66,$AA$72:$AA$79))*Parameters!$B$37/12</f>
        <v>33422.63343059151</v>
      </c>
      <c r="K81" s="46">
        <f>(SUM($AA$18:$AA$29)-SUM($AA$36,$AA$42,$AA$48,$AA$54,$AA$60,$AA$66,$AA$72:$AA$79))*Parameters!$B$37/12</f>
        <v>33422.63343059151</v>
      </c>
      <c r="L81" s="46">
        <f>(SUM($AA$18:$AA$29)-SUM($AA$36,$AA$42,$AA$48,$AA$54,$AA$60,$AA$66,$AA$72:$AA$79))*Parameters!$B$37/12</f>
        <v>33422.63343059151</v>
      </c>
      <c r="M81" s="46">
        <f>(SUM($AA$18:$AA$29)-SUM($AA$36,$AA$42,$AA$48,$AA$54,$AA$60,$AA$66,$AA$72:$AA$79))*Parameters!$B$37/12</f>
        <v>33422.63343059151</v>
      </c>
      <c r="N81" s="46">
        <f>(SUM($AA$18:$AA$29)-SUM($AA$36,$AA$42,$AA$48,$AA$54,$AA$60,$AA$66,$AA$72:$AA$79))*Parameters!$B$37/12</f>
        <v>33422.63343059151</v>
      </c>
      <c r="O81" s="46">
        <f>(SUM($AA$18:$AA$29)-SUM($AA$36,$AA$42,$AA$48,$AA$54,$AA$60,$AA$66,$AA$72:$AA$79))*Parameters!$B$37/12</f>
        <v>33422.63343059151</v>
      </c>
      <c r="P81" s="46">
        <f>(SUM($AA$18:$AA$29)-SUM($AA$36,$AA$42,$AA$48,$AA$54,$AA$60,$AA$66,$AA$72:$AA$79))*Parameters!$B$37/12</f>
        <v>33422.63343059151</v>
      </c>
      <c r="Q81" s="46">
        <f>(SUM($AA$18:$AA$29)-SUM($AA$36,$AA$42,$AA$48,$AA$54,$AA$60,$AA$66,$AA$72:$AA$79))*Parameters!$B$37/12</f>
        <v>33422.63343059151</v>
      </c>
      <c r="R81" s="46">
        <f>(SUM($AA$18:$AA$29)-SUM($AA$36,$AA$42,$AA$48,$AA$54,$AA$60,$AA$66,$AA$72:$AA$79))*Parameters!$B$37/12</f>
        <v>33422.63343059151</v>
      </c>
      <c r="S81" s="46">
        <f>(SUM($AA$18:$AA$29)-SUM($AA$36,$AA$42,$AA$48,$AA$54,$AA$60,$AA$66,$AA$72:$AA$79))*Parameters!$B$37/12</f>
        <v>33422.63343059151</v>
      </c>
      <c r="T81" s="46">
        <f>(SUM($AA$18:$AA$29)-SUM($AA$36,$AA$42,$AA$48,$AA$54,$AA$60,$AA$66,$AA$72:$AA$79))*Parameters!$B$37/12</f>
        <v>33422.63343059151</v>
      </c>
      <c r="U81" s="46">
        <f>(SUM($AA$18:$AA$29)-SUM($AA$36,$AA$42,$AA$48,$AA$54,$AA$60,$AA$66,$AA$72:$AA$79))*Parameters!$B$37/12</f>
        <v>33422.63343059151</v>
      </c>
      <c r="V81" s="46">
        <f>(SUM($AA$18:$AA$29)-SUM($AA$36,$AA$42,$AA$48,$AA$54,$AA$60,$AA$66,$AA$72:$AA$79))*Parameters!$B$37/12</f>
        <v>33422.63343059151</v>
      </c>
      <c r="W81" s="46">
        <f>(SUM($AA$18:$AA$29)-SUM($AA$36,$AA$42,$AA$48,$AA$54,$AA$60,$AA$66,$AA$72:$AA$79))*Parameters!$B$37/12</f>
        <v>33422.63343059151</v>
      </c>
      <c r="X81" s="46">
        <f>(SUM($AA$18:$AA$29)-SUM($AA$36,$AA$42,$AA$48,$AA$54,$AA$60,$AA$66,$AA$72:$AA$79))*Parameters!$B$37/12</f>
        <v>33422.63343059151</v>
      </c>
      <c r="Y81" s="46">
        <f>(SUM($AA$18:$AA$29)-SUM($AA$36,$AA$42,$AA$48,$AA$54,$AA$60,$AA$66,$AA$72:$AA$79))*Parameters!$B$37/12</f>
        <v>33422.63343059151</v>
      </c>
      <c r="Z81" s="46">
        <f>SUMIF($B$13:$Y$13,"Yes",B81:Y81)</f>
        <v>635030.0351812387</v>
      </c>
      <c r="AA81" s="46">
        <f>SUM(B81:M81)</f>
        <v>401071.601167098</v>
      </c>
      <c r="AB81" s="46">
        <f>SUM(B81:Y81)</f>
        <v>802143.2023341964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34622.63343059151</v>
      </c>
      <c r="C88" s="19">
        <f>SUM(C72:C82,C66,C60,C54,C48,C42,C36)</f>
        <v>36122.63343059151</v>
      </c>
      <c r="D88" s="19">
        <f>SUM(D72:D82,D66,D60,D54,D48,D42,D36)</f>
        <v>40122.63343059151</v>
      </c>
      <c r="E88" s="19">
        <f>SUM(E72:E82,E66,E60,E54,E48,E42,E36)</f>
        <v>34622.63343059151</v>
      </c>
      <c r="F88" s="19">
        <f>SUM(F72:F82,F66,F60,F54,F48,F42,F36)</f>
        <v>45622.63343059151</v>
      </c>
      <c r="G88" s="19">
        <f>SUM(G72:G82,G66,G60,G54,G48,G42,G36)</f>
        <v>34622.63343059151</v>
      </c>
      <c r="H88" s="19">
        <f>SUM(H72:H82,H66,H60,H54,H48,H42,H36)</f>
        <v>34622.63343059151</v>
      </c>
      <c r="I88" s="19">
        <f>SUM(I72:I82,I66,I60,I54,I48,I42,I36)</f>
        <v>36122.63343059151</v>
      </c>
      <c r="J88" s="19">
        <f>SUM(J72:J82,J66,J60,J54,J48,J42,J36)</f>
        <v>40122.63343059151</v>
      </c>
      <c r="K88" s="19">
        <f>SUM(K72:K82,K66,K60,K54,K48,K42,K36)</f>
        <v>34622.63343059151</v>
      </c>
      <c r="L88" s="19">
        <f>SUM(L72:L82,L66,L60,L54,L48,L42,L36)</f>
        <v>45622.63343059151</v>
      </c>
      <c r="M88" s="19">
        <f>SUM(M72:M82,M66,M60,M54,M48,M42,M36)</f>
        <v>34622.63343059151</v>
      </c>
      <c r="N88" s="19">
        <f>SUM(N72:N82,N66,N60,N54,N48,N42,N36)</f>
        <v>34622.63343059151</v>
      </c>
      <c r="O88" s="19">
        <f>SUM(O72:O82,O66,O60,O54,O48,O42,O36)</f>
        <v>36122.63343059151</v>
      </c>
      <c r="P88" s="19">
        <f>SUM(P72:P82,P66,P60,P54,P48,P42,P36)</f>
        <v>40122.63343059151</v>
      </c>
      <c r="Q88" s="19">
        <f>SUM(Q72:Q82,Q66,Q60,Q54,Q48,Q42,Q36)</f>
        <v>34622.63343059151</v>
      </c>
      <c r="R88" s="19">
        <f>SUM(R72:R82,R66,R60,R54,R48,R42,R36)</f>
        <v>45622.63343059151</v>
      </c>
      <c r="S88" s="19">
        <f>SUM(S72:S82,S66,S60,S54,S48,S42,S36)</f>
        <v>34622.63343059151</v>
      </c>
      <c r="T88" s="19">
        <f>SUM(T72:T82,T66,T60,T54,T48,T42,T36)</f>
        <v>34622.63343059151</v>
      </c>
      <c r="U88" s="19">
        <f>SUM(U72:U82,U66,U60,U54,U48,U42,U36)</f>
        <v>36122.63343059151</v>
      </c>
      <c r="V88" s="19">
        <f>SUM(V72:V82,V66,V60,V54,V48,V42,V36)</f>
        <v>40122.63343059151</v>
      </c>
      <c r="W88" s="19">
        <f>SUM(W72:W82,W66,W60,W54,W48,W42,W36)</f>
        <v>34622.63343059151</v>
      </c>
      <c r="X88" s="19">
        <f>SUM(X72:X82,X66,X60,X54,X48,X42,X36)</f>
        <v>45622.63343059151</v>
      </c>
      <c r="Y88" s="19">
        <f>SUM(Y72:Y82,Y66,Y60,Y54,Y48,Y42,Y36)</f>
        <v>34622.63343059151</v>
      </c>
      <c r="Z88" s="19">
        <f>SUMIF($B$13:$Y$13,"Yes",B88:Y88)</f>
        <v>711830.0351812387</v>
      </c>
      <c r="AA88" s="19">
        <f>SUM(B88:M88)</f>
        <v>451471.601167098</v>
      </c>
      <c r="AB88" s="19">
        <f>SUM(B88:Y88)</f>
        <v>902943.2023341964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452000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33000000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1200000</v>
      </c>
    </row>
    <row r="100" spans="1:30" customHeight="1" ht="15.75">
      <c r="A100" s="18" t="s">
        <v>66</v>
      </c>
      <c r="B100" s="37">
        <f>Inputs!B48</f>
        <v>2500000</v>
      </c>
    </row>
    <row r="101" spans="1:30" customHeight="1" ht="15.75">
      <c r="A101" s="1" t="s">
        <v>67</v>
      </c>
      <c r="B101" s="19">
        <f>SUM(B94:B100)</f>
        <v>39702000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96</v>
      </c>
      <c r="F8" s="149" t="s">
        <v>97</v>
      </c>
      <c r="G8" s="147"/>
      <c r="H8" s="147" t="s">
        <v>92</v>
      </c>
      <c r="I8" s="147" t="s">
        <v>93</v>
      </c>
      <c r="J8" s="148" t="s">
        <v>98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100</v>
      </c>
      <c r="B18" s="10" t="s">
        <v>101</v>
      </c>
      <c r="C18" s="10" t="s">
        <v>102</v>
      </c>
      <c r="D18" s="10" t="s">
        <v>103</v>
      </c>
      <c r="E18" s="10" t="s">
        <v>104</v>
      </c>
      <c r="F18" s="10" t="s">
        <v>105</v>
      </c>
      <c r="G18" s="10" t="s">
        <v>106</v>
      </c>
      <c r="H18" s="10" t="s">
        <v>107</v>
      </c>
      <c r="I18" s="10" t="s">
        <v>108</v>
      </c>
      <c r="J18" s="10" t="s">
        <v>109</v>
      </c>
      <c r="K18" s="10" t="s">
        <v>110</v>
      </c>
      <c r="L18" s="10" t="s">
        <v>111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100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25000</v>
      </c>
    </row>
    <row r="31" spans="1:48">
      <c r="A31" s="5" t="s">
        <v>118</v>
      </c>
      <c r="B31" s="158">
        <v>1200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2500000</v>
      </c>
    </row>
    <row r="46" spans="1:48" customHeight="1" ht="30">
      <c r="A46" s="57" t="s">
        <v>132</v>
      </c>
      <c r="B46" s="161">
        <v>1200000</v>
      </c>
    </row>
    <row r="47" spans="1:48" customHeight="1" ht="30">
      <c r="A47" s="57" t="s">
        <v>133</v>
      </c>
      <c r="B47" s="161">
        <v>452000</v>
      </c>
    </row>
    <row r="48" spans="1:48" customHeight="1" ht="30">
      <c r="A48" s="57" t="s">
        <v>134</v>
      </c>
      <c r="B48" s="161">
        <v>2500000</v>
      </c>
    </row>
    <row r="49" spans="1:48" customHeight="1" ht="30">
      <c r="A49" s="57" t="s">
        <v>135</v>
      </c>
      <c r="B49" s="161">
        <v>50000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145</v>
      </c>
      <c r="C65" s="10" t="s">
        <v>146</v>
      </c>
    </row>
    <row r="66" spans="1:48">
      <c r="A66" s="142" t="s">
        <v>147</v>
      </c>
      <c r="B66" s="159">
        <v>272482</v>
      </c>
      <c r="C66" s="163">
        <v>235855</v>
      </c>
      <c r="D66" s="49">
        <f>INDEX(Parameters!$D$79:$D$90,MATCH(Inputs!A66,Parameters!$C$79:$C$90,0))</f>
        <v>9</v>
      </c>
    </row>
    <row r="67" spans="1:48">
      <c r="A67" s="143" t="s">
        <v>148</v>
      </c>
      <c r="B67" s="157">
        <v>248138</v>
      </c>
      <c r="C67" s="165">
        <v>212554</v>
      </c>
      <c r="D67" s="49">
        <f>INDEX(Parameters!$D$79:$D$90,MATCH(Inputs!A67,Parameters!$C$79:$C$90,0))</f>
        <v>10</v>
      </c>
    </row>
    <row r="68" spans="1:48">
      <c r="A68" s="143" t="s">
        <v>149</v>
      </c>
      <c r="B68" s="157">
        <v>246121</v>
      </c>
      <c r="C68" s="165">
        <v>215442</v>
      </c>
      <c r="D68" s="49">
        <f>INDEX(Parameters!$D$79:$D$90,MATCH(Inputs!A68,Parameters!$C$79:$C$90,0))</f>
        <v>11</v>
      </c>
    </row>
    <row r="69" spans="1:48">
      <c r="A69" s="143" t="s">
        <v>150</v>
      </c>
      <c r="B69" s="157">
        <v>227685</v>
      </c>
      <c r="C69" s="165">
        <v>192554</v>
      </c>
      <c r="D69" s="49">
        <f>INDEX(Parameters!$D$79:$D$90,MATCH(Inputs!A69,Parameters!$C$79:$C$90,0))</f>
        <v>12</v>
      </c>
    </row>
    <row r="70" spans="1:48">
      <c r="A70" s="143" t="s">
        <v>151</v>
      </c>
      <c r="B70" s="157">
        <v>216426</v>
      </c>
      <c r="C70" s="165">
        <v>165450</v>
      </c>
      <c r="D70" s="49">
        <f>INDEX(Parameters!$D$79:$D$90,MATCH(Inputs!A70,Parameters!$C$79:$C$90,0))</f>
        <v>1</v>
      </c>
    </row>
    <row r="71" spans="1:48">
      <c r="A71" s="144" t="s">
        <v>152</v>
      </c>
      <c r="B71" s="158">
        <v>228620</v>
      </c>
      <c r="C71" s="167">
        <v>202125</v>
      </c>
      <c r="D71" s="49">
        <f>INDEX(Parameters!$D$79:$D$90,MATCH(Inputs!A71,Parameters!$C$79:$C$90,0))</f>
        <v>2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6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250000</v>
      </c>
    </row>
    <row r="82" spans="1:48">
      <c r="A82" t="s">
        <v>162</v>
      </c>
      <c r="B82" s="161">
        <v>40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18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43221</v>
      </c>
      <c r="C4" s="38">
        <f>IFERROR(DATE(YEAR(B4),MONTH(B4)+ROUND(T4/2,0),DAY(B4)),B4)</f>
        <v>43282</v>
      </c>
      <c r="D4" s="38">
        <f>IFERROR(DATE(YEAR(B4),MONTH(B4)+T4,DAY(B4)),"")</f>
        <v>43313</v>
      </c>
      <c r="E4" s="38">
        <f>IFERROR(IF($S4=0,"",IF($S4=2,DATE(YEAR(B4),MONTH(B4)+6,DAY(B4)),IF($S4=1,B4,""))),"")</f>
        <v>43405</v>
      </c>
      <c r="F4" s="38">
        <f>IFERROR(IF($S4=0,"",IF($S4=2,DATE(YEAR(C4),MONTH(C4)+6,DAY(C4)),IF($S4=1,C4,""))),"")</f>
        <v>43466</v>
      </c>
      <c r="G4" s="38">
        <f>IFERROR(IF($S4=0,"",IF($S4=2,DATE(YEAR(D4),MONTH(D4)+6,DAY(D4)),IF($S4=1,D4,""))),"")</f>
        <v>43497</v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3933.029533398966</v>
      </c>
      <c r="M4" s="25">
        <f>L4*H4</f>
        <v>7866.059066797932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523092.9279420625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1500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Onions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43191</v>
      </c>
      <c r="C5" s="39">
        <f>IFERROR(DATE(YEAR(B5),MONTH(B5)+ROUND(T5/2,0),DAY(B5)),B5)</f>
        <v>43282</v>
      </c>
      <c r="D5" s="39">
        <f>IFERROR(DATE(YEAR(B5),MONTH(B5)+T5,DAY(B5)),"")</f>
        <v>43344</v>
      </c>
      <c r="E5" s="39">
        <f>IFERROR(IF($S5=0,"",IF($S5=2,DATE(YEAR(B5),MONTH(B5)+6,DAY(B5)),IF($S5=1,B5,""))),"")</f>
        <v>43374</v>
      </c>
      <c r="F5" s="39">
        <f>IFERROR(IF($S5=0,"",IF($S5=2,DATE(YEAR(C5),MONTH(C5)+6,DAY(C5)),IF($S5=1,C5,""))),"")</f>
        <v>43466</v>
      </c>
      <c r="G5" s="39">
        <f>IFERROR(IF($S5=0,"",IF($S5=2,DATE(YEAR(D5),MONTH(D5)+6,DAY(D5)),IF($S5=1,D5,""))),"")</f>
        <v>43525</v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2161.523261049648</v>
      </c>
      <c r="M5" s="30">
        <f>L5*H5</f>
        <v>2161.523261049648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56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229986.0749756825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1500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100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Kitengela</v>
      </c>
    </row>
    <row r="33" spans="1:52">
      <c r="A33">
        <v>1</v>
      </c>
      <c r="B33" s="128">
        <f>G34</f>
        <v>43206</v>
      </c>
      <c r="C33" s="27">
        <f>IF(B33&lt;&gt;"",IF(COUNT($A$33:A33)&lt;=$G$39,0,$G$41)+IF(COUNT($A$33:A33)&lt;=$G$40,0,$G$42),0)</f>
        <v>22222.22222222222</v>
      </c>
      <c r="D33" s="170">
        <f>IFERROR(DATE(YEAR(B33),MONTH(B33),1)," ")</f>
        <v>43191</v>
      </c>
      <c r="F33" t="s">
        <v>158</v>
      </c>
      <c r="G33" s="128">
        <f>IF(Inputs!B79="","",DATE(YEAR(Inputs!B79),MONTH(Inputs!B79),DAY(Inputs!B79)))</f>
        <v>43167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43236</v>
      </c>
      <c r="C34" s="27">
        <f>IF(B34&lt;&gt;"",IF(COUNT($A$33:A34)&lt;=$G$39,0,$G$41)+IF(COUNT($A$33:A34)&lt;=$G$40,0,$G$42),0)</f>
        <v>22222.22222222222</v>
      </c>
      <c r="D34" s="170">
        <f>IFERROR(DATE(YEAR(B34),MONTH(B34),1)," ")</f>
        <v>43221</v>
      </c>
      <c r="F34" t="s">
        <v>159</v>
      </c>
      <c r="G34" s="128">
        <f>IF(Inputs!B80="","",DATE(YEAR(Inputs!B80),MONTH(Inputs!B80),DAY(Inputs!B80)))</f>
        <v>43206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43267</v>
      </c>
      <c r="C35" s="27">
        <f>IF(B35&lt;&gt;"",IF(COUNT($A$33:A35)&lt;=$G$39,0,$G$41)+IF(COUNT($A$33:A35)&lt;=$G$40,0,$G$42),0)</f>
        <v>22222.22222222222</v>
      </c>
      <c r="D35" s="170">
        <f>IFERROR(DATE(YEAR(B35),MONTH(B35),1)," ")</f>
        <v>43252</v>
      </c>
      <c r="F35" t="s">
        <v>161</v>
      </c>
      <c r="G35" s="27">
        <f>Inputs!B81</f>
        <v>250000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43297</v>
      </c>
      <c r="C36" s="27">
        <f>IF(B36&lt;&gt;"",IF(COUNT($A$33:A36)&lt;=$G$39,0,$G$41)+IF(COUNT($A$33:A36)&lt;=$G$40,0,$G$42),0)</f>
        <v>22222.22222222222</v>
      </c>
      <c r="D36" s="170">
        <f>IFERROR(DATE(YEAR(B36),MONTH(B36),1)," ")</f>
        <v>43282</v>
      </c>
      <c r="F36" t="s">
        <v>162</v>
      </c>
      <c r="G36" s="130">
        <f>Inputs!B82/100</f>
        <v>0.4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43328</v>
      </c>
      <c r="C37" s="27">
        <f>IF(B37&lt;&gt;"",IF(COUNT($A$33:A37)&lt;=$G$39,0,$G$41)+IF(COUNT($A$33:A37)&lt;=$G$40,0,$G$42),0)</f>
        <v>22222.22222222222</v>
      </c>
      <c r="D37" s="170">
        <f>IFERROR(DATE(YEAR(B37),MONTH(B37),1)," ")</f>
        <v>43313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43359</v>
      </c>
      <c r="C38" s="27">
        <f>IF(B38&lt;&gt;"",IF(COUNT($A$33:A38)&lt;=$G$39,0,$G$41)+IF(COUNT($A$33:A38)&lt;=$G$40,0,$G$42),0)</f>
        <v>22222.22222222222</v>
      </c>
      <c r="D38" s="170">
        <f>IFERROR(DATE(YEAR(B38),MONTH(B38),1)," ")</f>
        <v>43344</v>
      </c>
      <c r="F38" t="s">
        <v>224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43389</v>
      </c>
      <c r="C39" s="27">
        <f>IF(B39&lt;&gt;"",IF(COUNT($A$33:A39)&lt;=$G$39,0,$G$41)+IF(COUNT($A$33:A39)&lt;=$G$40,0,$G$42),0)</f>
        <v>22222.22222222222</v>
      </c>
      <c r="D39" s="170">
        <f>IFERROR(DATE(YEAR(B39),MONTH(B39),1)," ")</f>
        <v>43374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43420</v>
      </c>
      <c r="C40" s="27">
        <f>IF(B40&lt;&gt;"",IF(COUNT($A$33:A40)&lt;=$G$39,0,$G$41)+IF(COUNT($A$33:A40)&lt;=$G$40,0,$G$42),0)</f>
        <v>22222.22222222222</v>
      </c>
      <c r="D40" s="170">
        <f>IFERROR(DATE(YEAR(B40),MONTH(B40),1)," ")</f>
        <v>43405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43450</v>
      </c>
      <c r="C41" s="27">
        <f>IF(B41&lt;&gt;"",IF(COUNT($A$33:A41)&lt;=$G$39,0,$G$41)+IF(COUNT($A$33:A41)&lt;=$G$40,0,$G$42),0)</f>
        <v>22222.22222222222</v>
      </c>
      <c r="D41" s="170">
        <f>IFERROR(DATE(YEAR(B41),MONTH(B41),1)," ")</f>
        <v>43435</v>
      </c>
      <c r="F41" t="s">
        <v>225</v>
      </c>
      <c r="G41" s="73">
        <f>IFERROR(G35/(G38-G39),"")</f>
        <v>13888.88888888889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43481</v>
      </c>
      <c r="C42" s="27">
        <f>IF(B42&lt;&gt;"",IF(COUNT($A$33:A42)&lt;=$G$39,0,$G$41)+IF(COUNT($A$33:A42)&lt;=$G$40,0,$G$42),0)</f>
        <v>22222.22222222222</v>
      </c>
      <c r="D42" s="170">
        <f>IFERROR(DATE(YEAR(B42),MONTH(B42),1)," ")</f>
        <v>43466</v>
      </c>
      <c r="F42" t="s">
        <v>226</v>
      </c>
      <c r="G42" s="73">
        <f>IFERROR(G35*G36*IF(G37="Monthly",G38/12,IF(G37="Fortnightly",G38/(365/14),G38/(365/28)))/(G38-G40),"")</f>
        <v>8333.333333333334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43512</v>
      </c>
      <c r="C43" s="27">
        <f>IF(B43&lt;&gt;"",IF(COUNT($A$33:A43)&lt;=$G$39,0,$G$41)+IF(COUNT($A$33:A43)&lt;=$G$40,0,$G$42),0)</f>
        <v>22222.22222222222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43540</v>
      </c>
      <c r="C44" s="27">
        <f>IF(B44&lt;&gt;"",IF(COUNT($A$33:A44)&lt;=$G$39,0,$G$41)+IF(COUNT($A$33:A44)&lt;=$G$40,0,$G$42),0)</f>
        <v>22222.22222222222</v>
      </c>
      <c r="D44" s="170">
        <f>IFERROR(DATE(YEAR(B44),MONTH(B44),1)," ")</f>
        <v>43525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43571</v>
      </c>
      <c r="C45" s="27">
        <f>IF(B45&lt;&gt;"",IF(COUNT($A$33:A45)&lt;=$G$39,0,$G$41)+IF(COUNT($A$33:A45)&lt;=$G$40,0,$G$42),0)</f>
        <v>22222.22222222222</v>
      </c>
      <c r="D45" s="170">
        <f>IFERROR(DATE(YEAR(B45),MONTH(B45),1)," ")</f>
        <v>43556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43601</v>
      </c>
      <c r="C46" s="27">
        <f>IF(B46&lt;&gt;"",IF(COUNT($A$33:A46)&lt;=$G$39,0,$G$41)+IF(COUNT($A$33:A46)&lt;=$G$40,0,$G$42),0)</f>
        <v>22222.22222222222</v>
      </c>
      <c r="D46" s="170">
        <f>IFERROR(DATE(YEAR(B46),MONTH(B46),1)," ")</f>
        <v>43586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43632</v>
      </c>
      <c r="C47" s="27">
        <f>IF(B47&lt;&gt;"",IF(COUNT($A$33:A47)&lt;=$G$39,0,$G$41)+IF(COUNT($A$33:A47)&lt;=$G$40,0,$G$42),0)</f>
        <v>22222.22222222222</v>
      </c>
      <c r="D47" s="170">
        <f>IFERROR(DATE(YEAR(B47),MONTH(B47),1)," ")</f>
        <v>43617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43662</v>
      </c>
      <c r="C48" s="27">
        <f>IF(B48&lt;&gt;"",IF(COUNT($A$33:A48)&lt;=$G$39,0,$G$41)+IF(COUNT($A$33:A48)&lt;=$G$40,0,$G$42),0)</f>
        <v>22222.22222222222</v>
      </c>
      <c r="D48" s="170">
        <f>IFERROR(DATE(YEAR(B48),MONTH(B48),1)," ")</f>
        <v>43647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43693</v>
      </c>
      <c r="C49" s="27">
        <f>IF(B49&lt;&gt;"",IF(COUNT($A$33:A49)&lt;=$G$39,0,$G$41)+IF(COUNT($A$33:A49)&lt;=$G$40,0,$G$42),0)</f>
        <v>22222.22222222222</v>
      </c>
      <c r="D49" s="170">
        <f>IFERROR(DATE(YEAR(B49),MONTH(B49),1)," ")</f>
        <v>43678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43724</v>
      </c>
      <c r="C50" s="27">
        <f>IF(B50&lt;&gt;"",IF(COUNT($A$33:A50)&lt;=$G$39,0,$G$41)+IF(COUNT($A$33:A50)&lt;=$G$40,0,$G$42),0)</f>
        <v>22222.22222222222</v>
      </c>
      <c r="D50" s="170">
        <f>IFERROR(DATE(YEAR(B50),MONTH(B50),1)," ")</f>
        <v>43709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100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199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294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294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294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294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100</v>
      </c>
      <c r="B41" s="191" t="s">
        <v>311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313</v>
      </c>
      <c r="H52" s="12" t="s">
        <v>314</v>
      </c>
      <c r="I52" s="12" t="s">
        <v>129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227</v>
      </c>
      <c r="E53" s="10" t="s">
        <v>186</v>
      </c>
      <c r="F53" s="10" t="s">
        <v>246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311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311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311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311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311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311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311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164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223</v>
      </c>
      <c r="J76" s="11" t="s">
        <v>347</v>
      </c>
      <c r="K76" s="11" t="s">
        <v>176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311</v>
      </c>
      <c r="F77" s="12" t="s">
        <v>311</v>
      </c>
      <c r="G77" s="12" t="s">
        <v>349</v>
      </c>
      <c r="H77" s="12" t="s">
        <v>314</v>
      </c>
      <c r="I77" s="12" t="s">
        <v>350</v>
      </c>
      <c r="J77" s="136" t="s">
        <v>90</v>
      </c>
      <c r="K77" s="12" t="s">
        <v>311</v>
      </c>
      <c r="AJ77" s="12"/>
    </row>
    <row r="78" spans="1:36">
      <c r="A78" t="s">
        <v>311</v>
      </c>
      <c r="B78" s="176">
        <v>5</v>
      </c>
      <c r="C78" s="134" t="s">
        <v>351</v>
      </c>
      <c r="D78" s="133"/>
      <c r="E78" s="12" t="s">
        <v>91</v>
      </c>
      <c r="F78" s="12" t="s">
        <v>352</v>
      </c>
      <c r="G78" s="12" t="s">
        <v>353</v>
      </c>
      <c r="H78" s="12" t="s">
        <v>129</v>
      </c>
      <c r="I78" s="12" t="s">
        <v>354</v>
      </c>
      <c r="J78" s="70" t="s">
        <v>96</v>
      </c>
      <c r="K78" s="12" t="s">
        <v>311</v>
      </c>
      <c r="AJ78" s="12"/>
    </row>
    <row r="79" spans="1:36">
      <c r="B79" s="176">
        <v>10</v>
      </c>
      <c r="C79" s="12" t="s">
        <v>151</v>
      </c>
      <c r="D79" s="12">
        <v>1</v>
      </c>
      <c r="E79" s="12" t="s">
        <v>355</v>
      </c>
      <c r="F79" s="12" t="s">
        <v>93</v>
      </c>
      <c r="G79" s="12" t="s">
        <v>356</v>
      </c>
      <c r="I79" s="12" t="s">
        <v>164</v>
      </c>
      <c r="J79" s="70" t="s">
        <v>357</v>
      </c>
      <c r="K79" s="12" t="s">
        <v>311</v>
      </c>
      <c r="AJ79" s="12"/>
    </row>
    <row r="80" spans="1:36">
      <c r="B80" s="176">
        <v>20</v>
      </c>
      <c r="C80" s="12" t="s">
        <v>152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92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98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