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<sst xmlns="http://schemas.openxmlformats.org/spreadsheetml/2006/main" uniqueCount="373">
  <si>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</si>
  <si>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</si>
  <si>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</si>
  <si>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</si>
  <si>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</si>
  <si>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</si>
  <si>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</si>
  <si>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</si>
  <si>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</si>
  <si>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</si>
  <si>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</si>
  <si>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</si>
  <si>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</si>
  <si>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</si>
  <si>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</si>
  <si>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</si>
  <si>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</si>
  <si>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</si>
  <si>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</si>
  <si>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</si>
  <si>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</si>
  <si>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</si>
  <si>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</si>
  <si>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</si>
  <si>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</si>
  <si>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</si>
  <si>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</si>
  <si>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</si>
  <si>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</si>
  <si>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</si>
  <si>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</si>
  <si>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</si>
  <si>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</si>
  <si>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</si>
  <si>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</si>
  <si>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</si>
  <si>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</si>
  <si>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</si>
  <si>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</si>
  <si>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</si>
  <si>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</si>
  <si>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</si>
  <si>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</si>
  <si>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</si>
  <si>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</si>
  <si>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</si>
  <si>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</si>
  <si>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</si>
  <si>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</si>
  <si>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</si>
  <si>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</si>
  <si>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</si>
  <si>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</si>
  <si>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</si>
  <si>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</si>
  <si>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</si>
  <si>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</si>
  <si>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</si>
  <si>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</si>
  <si>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</si>
  <si>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</si>
  <si>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</si>
  <si>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</si>
  <si>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</si>
  <si>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</si>
  <si>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</si>
  <si>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</si>
  <si>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</si>
  <si>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</si>
  <si>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</si>
  <si>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</si>
  <si>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</si>
  <si>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</si>
  <si>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</si>
  <si>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</si>
  <si>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</si>
  <si>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</si>
  <si>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</si>
  <si>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</si>
  <si>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</si>
  <si>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</si>
  <si>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</si>
  <si>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</si>
  <si>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</si>
  <si>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</si>
  <si>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</si>
  <si>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</si>
  <si>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</si>
  <si>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</si>
  <si>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</si>
  <si>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</si>
  <si>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</si>
  <si>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</si>
  <si>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</si>
  <si>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</si>
  <si>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</si>
  <si>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</si>
  <si>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</si>
  <si>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</si>
  <si>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</si>
  <si>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</si>
  <si>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</si>
  <si>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</si>
  <si>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</si>
  <si>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</si>
  <si>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</si>
  <si>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</si>
  <si>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</si>
  <si>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</si>
  <si>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</si>
  <si>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</si>
  <si>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</si>
  <si>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</si>
  <si>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</si>
  <si>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</si>
  <si>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supply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</si>
  <si>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</si>
  <si>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</si>
  <si>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</si>
  <si>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</si>
  <si>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</si>
  <si>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</si>
  <si>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</si>
  <si>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</si>
  <si>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</si>
  <si>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</si>
  <si>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</si>
  <si>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</si>
  <si>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</si>
  <si>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</si>
  <si>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</si>
  <si>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</si>
  <si>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</si>
  <si>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</si>
  <si>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</si>
  <si>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</si>
  <si>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</si>
  <si>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</si>
  <si>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</si>
  <si>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</si>
  <si>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</si>
  <si>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</si>
  <si>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</si>
  <si>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2/28/2016</t>
  </si>
  <si>
    <t>Equity</t>
  </si>
  <si>
    <t>Cleared</t>
  </si>
  <si>
    <t>4/30/2017</t>
  </si>
  <si>
    <t>Equity bank</t>
  </si>
  <si>
    <t>No arrears</t>
  </si>
  <si>
    <t>6/17/2017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</si>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</sst>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</v>
      </c>
    </row>
    <row r="8" spans="1:7">
      <c r="B8" s="1" t="s">
        <v>4</v>
      </c>
      <c r="C8" t="str">
        <f>IF(Inputs!B29="","None",Inputs!B29)</f>
        <v>Milk supply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0.2298374891955069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0.081267217630854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550356.1963435521</v>
      </c>
    </row>
    <row r="18" spans="1:7">
      <c r="B18" s="1" t="s">
        <v>12</v>
      </c>
      <c r="C18" s="36">
        <f>MIN(Output!B6:M6)</f>
        <v>-68402.86444332867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293859.8749338738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216666.6666666667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261655.3294793284</v>
      </c>
      <c r="C6" s="51">
        <f>C30-C88</f>
        <v>-7988.500806965021</v>
      </c>
      <c r="D6" s="51">
        <f>D30-D88</f>
        <v>-68402.86444332867</v>
      </c>
      <c r="E6" s="51">
        <f>E30-E88</f>
        <v>20688.04464758043</v>
      </c>
      <c r="F6" s="51">
        <f>F30-F88</f>
        <v>7788.044647580435</v>
      </c>
      <c r="G6" s="51">
        <f>G30-G88</f>
        <v>20688.04464758043</v>
      </c>
      <c r="H6" s="51">
        <f>H30-H88</f>
        <v>293859.8749338738</v>
      </c>
      <c r="I6" s="51">
        <f>I30-I88</f>
        <v>24216.04464758043</v>
      </c>
      <c r="J6" s="51">
        <f>J30-J88</f>
        <v>-51311.95535241957</v>
      </c>
      <c r="K6" s="51">
        <f>K30-K88</f>
        <v>20688.04464758043</v>
      </c>
      <c r="L6" s="51">
        <f>L30-L88</f>
        <v>7788.044647580435</v>
      </c>
      <c r="M6" s="51">
        <f>M30-M88</f>
        <v>20688.04464758043</v>
      </c>
      <c r="N6" s="51">
        <f>N30-N88</f>
        <v>293859.8749338738</v>
      </c>
      <c r="O6" s="51">
        <f>O30-O88</f>
        <v>24216.04464758043</v>
      </c>
      <c r="P6" s="51">
        <f>P30-P88</f>
        <v>-51311.95535241957</v>
      </c>
      <c r="Q6" s="51">
        <f>Q30-Q88</f>
        <v>20688.04464758043</v>
      </c>
      <c r="R6" s="51">
        <f>R30-R88</f>
        <v>7788.044647580435</v>
      </c>
      <c r="S6" s="51">
        <f>S30-S88</f>
        <v>20688.04464758043</v>
      </c>
      <c r="T6" s="51">
        <f>T30-T88</f>
        <v>293859.8749338738</v>
      </c>
      <c r="U6" s="51">
        <f>U30-U88</f>
        <v>24216.04464758043</v>
      </c>
      <c r="V6" s="51">
        <f>V30-V88</f>
        <v>-51311.95535241957</v>
      </c>
      <c r="W6" s="51">
        <f>W30-W88</f>
        <v>20688.04464758043</v>
      </c>
      <c r="X6" s="51">
        <f>X30-X88</f>
        <v>7788.044647580435</v>
      </c>
      <c r="Y6" s="51">
        <f>Y30-Y88</f>
        <v>20688.04464758043</v>
      </c>
      <c r="Z6" s="51">
        <f>SUMIF($B$13:$Y$13,"Yes",B6:Y6)</f>
        <v>844216.0712774259</v>
      </c>
      <c r="AA6" s="51">
        <f>AA30-AA88</f>
        <v>550356.1963435522</v>
      </c>
      <c r="AB6" s="51">
        <f>AB30-AB88</f>
        <v>1182212.392687105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10</v>
      </c>
      <c r="J7" s="80">
        <f>IF(ISERROR(VLOOKUP(MONTH(J5),Inputs!$D$66:$D$71,1,0)),"",INDEX(Inputs!$B$66:$B$71,MATCH(MONTH(Output!J5),Inputs!$D$66:$D$71,0))-INDEX(Inputs!$C$66:$C$71,MATCH(MONTH(Output!J5),Inputs!$D$66:$D$71,0)))</f>
        <v>-19</v>
      </c>
      <c r="K7" s="80">
        <f>IF(ISERROR(VLOOKUP(MONTH(K5),Inputs!$D$66:$D$71,1,0)),"",INDEX(Inputs!$B$66:$B$71,MATCH(MONTH(Output!K5),Inputs!$D$66:$D$71,0))-INDEX(Inputs!$C$66:$C$71,MATCH(MONTH(Output!K5),Inputs!$D$66:$D$71,0)))</f>
        <v>136</v>
      </c>
      <c r="L7" s="80">
        <f>IF(ISERROR(VLOOKUP(MONTH(L5),Inputs!$D$66:$D$71,1,0)),"",INDEX(Inputs!$B$66:$B$71,MATCH(MONTH(Output!L5),Inputs!$D$66:$D$71,0))-INDEX(Inputs!$C$66:$C$71,MATCH(MONTH(Output!L5),Inputs!$D$66:$D$71,0)))</f>
        <v>20279</v>
      </c>
      <c r="M7" s="80">
        <f>IF(ISERROR(VLOOKUP(MONTH(M5),Inputs!$D$66:$D$71,1,0)),"",INDEX(Inputs!$B$66:$B$71,MATCH(MONTH(Output!M5),Inputs!$D$66:$D$71,0))-INDEX(Inputs!$C$66:$C$71,MATCH(MONTH(Output!M5),Inputs!$D$66:$D$71,0)))</f>
        <v>6887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10</v>
      </c>
      <c r="V7" s="80">
        <f>IF(ISERROR(VLOOKUP(MONTH(V5),Inputs!$D$66:$D$71,1,0)),"",INDEX(Inputs!$B$66:$B$71,MATCH(MONTH(Output!V5),Inputs!$D$66:$D$71,0))-INDEX(Inputs!$C$66:$C$71,MATCH(MONTH(Output!V5),Inputs!$D$66:$D$71,0)))</f>
        <v>-19</v>
      </c>
      <c r="W7" s="80">
        <f>IF(ISERROR(VLOOKUP(MONTH(W5),Inputs!$D$66:$D$71,1,0)),"",INDEX(Inputs!$B$66:$B$71,MATCH(MONTH(Output!W5),Inputs!$D$66:$D$71,0))-INDEX(Inputs!$C$66:$C$71,MATCH(MONTH(Output!W5),Inputs!$D$66:$D$71,0)))</f>
        <v>136</v>
      </c>
      <c r="X7" s="80">
        <f>IF(ISERROR(VLOOKUP(MONTH(X5),Inputs!$D$66:$D$71,1,0)),"",INDEX(Inputs!$B$66:$B$71,MATCH(MONTH(Output!X5),Inputs!$D$66:$D$71,0))-INDEX(Inputs!$C$66:$C$71,MATCH(MONTH(Output!X5),Inputs!$D$66:$D$71,0)))</f>
        <v>20279</v>
      </c>
      <c r="Y7" s="80">
        <f>IF(ISERROR(VLOOKUP(MONTH(Y5),Inputs!$D$66:$D$71,1,0)),"",INDEX(Inputs!$B$66:$B$71,MATCH(MONTH(Output!Y5),Inputs!$D$66:$D$71,0))-INDEX(Inputs!$C$66:$C$71,MATCH(MONTH(Output!Y5),Inputs!$D$66:$D$71,0)))</f>
        <v>6887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461655.3294793284</v>
      </c>
      <c r="C11" s="80">
        <f>C6+C9-C10</f>
        <v>-27988.50080696502</v>
      </c>
      <c r="D11" s="80">
        <f>D6+D9-D10</f>
        <v>-88402.86444332867</v>
      </c>
      <c r="E11" s="80">
        <f>E6+E9-E10</f>
        <v>688.0446475804347</v>
      </c>
      <c r="F11" s="80">
        <f>F6+F9-F10</f>
        <v>-12211.95535241957</v>
      </c>
      <c r="G11" s="80">
        <f>G6+G9-G10</f>
        <v>688.0446475804347</v>
      </c>
      <c r="H11" s="80">
        <f>H6+H9-H10</f>
        <v>273859.8749338738</v>
      </c>
      <c r="I11" s="80">
        <f>I6+I9-I10</f>
        <v>4216.044647580435</v>
      </c>
      <c r="J11" s="80">
        <f>J6+J9-J10</f>
        <v>-71311.95535241957</v>
      </c>
      <c r="K11" s="80">
        <f>K6+K9-K10</f>
        <v>688.0446475804347</v>
      </c>
      <c r="L11" s="80">
        <f>L6+L9-L10</f>
        <v>-12211.95535241957</v>
      </c>
      <c r="M11" s="80">
        <f>M6+M9-M10</f>
        <v>688.0446475804347</v>
      </c>
      <c r="N11" s="80">
        <f>N6+N9-N10</f>
        <v>273859.8749338738</v>
      </c>
      <c r="O11" s="80">
        <f>O6+O9-O10</f>
        <v>24216.04464758043</v>
      </c>
      <c r="P11" s="80">
        <f>P6+P9-P10</f>
        <v>-51311.95535241957</v>
      </c>
      <c r="Q11" s="80">
        <f>Q6+Q9-Q10</f>
        <v>20688.04464758043</v>
      </c>
      <c r="R11" s="80">
        <f>R6+R9-R10</f>
        <v>7788.044647580435</v>
      </c>
      <c r="S11" s="80">
        <f>S6+S9-S10</f>
        <v>20688.04464758043</v>
      </c>
      <c r="T11" s="80">
        <f>T6+T9-T10</f>
        <v>293859.8749338738</v>
      </c>
      <c r="U11" s="80">
        <f>U6+U9-U10</f>
        <v>24216.04464758043</v>
      </c>
      <c r="V11" s="80">
        <f>V6+V9-V10</f>
        <v>-51311.95535241957</v>
      </c>
      <c r="W11" s="80">
        <f>W6+W9-W10</f>
        <v>20688.04464758043</v>
      </c>
      <c r="X11" s="80">
        <f>X6+X9-X10</f>
        <v>7788.044647580435</v>
      </c>
      <c r="Y11" s="80">
        <f>Y6+Y9-Y10</f>
        <v>20688.04464758043</v>
      </c>
      <c r="Z11" s="85">
        <f>SUMIF($B$13:$Y$13,"Yes",B11:Y11)</f>
        <v>804216.0712774259</v>
      </c>
      <c r="AA11" s="80">
        <f>SUM(B11:M11)</f>
        <v>530356.1963435521</v>
      </c>
      <c r="AB11" s="46">
        <f>SUM(B11:Y11)</f>
        <v>1142212.392687104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0.04408521570450533</v>
      </c>
      <c r="D12" s="82">
        <f>IF(D13="Yes",IF(SUM($B$10:D10)/(SUM($B$6:D6)+SUM($B$9:D9))&lt;0,999.99,SUM($B$10:D10)/(SUM($B$6:D6)+SUM($B$9:D9))),"")</f>
        <v>0.1038249193122575</v>
      </c>
      <c r="E12" s="82">
        <f>IF(E13="Yes",IF(SUM($B$10:E10)/(SUM($B$6:E6)+SUM($B$9:E9))&lt;0,999.99,SUM($B$10:E10)/(SUM($B$6:E6)+SUM($B$9:E9))),"")</f>
        <v>0.1478007219770561</v>
      </c>
      <c r="F12" s="82">
        <f>IF(F13="Yes",IF(SUM($B$10:F10)/(SUM($B$6:F6)+SUM($B$9:F9))&lt;0,999.99,SUM($B$10:F10)/(SUM($B$6:F6)+SUM($B$9:F9))),"")</f>
        <v>0.1933581226148355</v>
      </c>
      <c r="G12" s="82">
        <f>IF(G13="Yes",IF(SUM($B$10:G10)/(SUM($B$6:G6)+SUM($B$9:G9))&lt;0,999.99,SUM($B$10:G10)/(SUM($B$6:G6)+SUM($B$9:G9))),"")</f>
        <v>0.2301876891039844</v>
      </c>
      <c r="H12" s="82">
        <f>IF(H13="Yes",IF(SUM($B$10:H10)/(SUM($B$6:H6)+SUM($B$9:H9))&lt;0,999.99,SUM($B$10:H10)/(SUM($B$6:H6)+SUM($B$9:H9))),"")</f>
        <v>0.1647699871910312</v>
      </c>
      <c r="I12" s="82">
        <f>IF(I13="Yes",IF(SUM($B$10:I10)/(SUM($B$6:I6)+SUM($B$9:I9))&lt;0,999.99,SUM($B$10:I10)/(SUM($B$6:I6)+SUM($B$9:I9))),"")</f>
        <v>0.1860455182923826</v>
      </c>
      <c r="J12" s="82">
        <f>IF(J13="Yes",IF(SUM($B$10:J10)/(SUM($B$6:J6)+SUM($B$9:J9))&lt;0,999.99,SUM($B$10:J10)/(SUM($B$6:J6)+SUM($B$9:J9))),"")</f>
        <v>0.2281828454420551</v>
      </c>
      <c r="K12" s="82">
        <f>IF(K13="Yes",IF(SUM($B$10:K10)/(SUM($B$6:K6)+SUM($B$9:K9))&lt;0,999.99,SUM($B$10:K10)/(SUM($B$6:K6)+SUM($B$9:K9))),"")</f>
        <v>0.2493488852823225</v>
      </c>
      <c r="L12" s="82">
        <f>IF(L13="Yes",IF(SUM($B$10:L10)/(SUM($B$6:L6)+SUM($B$9:L9))&lt;0,999.99,SUM($B$10:L10)/(SUM($B$6:L6)+SUM($B$9:L9))),"")</f>
        <v>0.2740972036879216</v>
      </c>
      <c r="M12" s="82">
        <f>IF(M13="Yes",IF(SUM($B$10:M10)/(SUM($B$6:M6)+SUM($B$9:M9))&lt;0,999.99,SUM($B$10:M10)/(SUM($B$6:M6)+SUM($B$9:M9))),"")</f>
        <v>0.2931940871176235</v>
      </c>
      <c r="N12" s="82">
        <f>IF(N13="Yes",IF(SUM($B$10:N10)/(SUM($B$6:N6)+SUM($B$9:N9))&lt;0,999.99,SUM($B$10:N10)/(SUM($B$6:N6)+SUM($B$9:N9))),"")</f>
        <v>0.2298374891955069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273171.8302862934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273171.8302862934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273171.8302862934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273171.8302862934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819515.4908588802</v>
      </c>
      <c r="AA18" s="36">
        <f>SUM(B18:M18)</f>
        <v>546343.6605725868</v>
      </c>
      <c r="AB18" s="36">
        <f>SUM(B18:Y18)</f>
        <v>1092687.321145174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10402.5</v>
      </c>
      <c r="C25" s="36">
        <f>IFERROR(Calculations!$P15/12,"")</f>
        <v>10402.5</v>
      </c>
      <c r="D25" s="36">
        <f>IFERROR(Calculations!$P15/12,"")</f>
        <v>10402.5</v>
      </c>
      <c r="E25" s="36">
        <f>IFERROR(Calculations!$P15/12,"")</f>
        <v>10402.5</v>
      </c>
      <c r="F25" s="36">
        <f>IFERROR(Calculations!$P15/12,"")</f>
        <v>10402.5</v>
      </c>
      <c r="G25" s="36">
        <f>IFERROR(Calculations!$P15/12,"")</f>
        <v>10402.5</v>
      </c>
      <c r="H25" s="36">
        <f>IFERROR(Calculations!$P15/12,"")</f>
        <v>10402.5</v>
      </c>
      <c r="I25" s="36">
        <f>IFERROR(Calculations!$P15/12,"")</f>
        <v>10402.5</v>
      </c>
      <c r="J25" s="36">
        <f>IFERROR(Calculations!$P15/12,"")</f>
        <v>10402.5</v>
      </c>
      <c r="K25" s="36">
        <f>IFERROR(Calculations!$P15/12,"")</f>
        <v>10402.5</v>
      </c>
      <c r="L25" s="36">
        <f>IFERROR(Calculations!$P15/12,"")</f>
        <v>10402.5</v>
      </c>
      <c r="M25" s="36">
        <f>IFERROR(Calculations!$P15/12,"")</f>
        <v>10402.5</v>
      </c>
      <c r="N25" s="36">
        <f>IFERROR(Calculations!$P15/12,"")</f>
        <v>10402.5</v>
      </c>
      <c r="O25" s="36">
        <f>IFERROR(Calculations!$P15/12,"")</f>
        <v>10402.5</v>
      </c>
      <c r="P25" s="36">
        <f>IFERROR(Calculations!$P15/12,"")</f>
        <v>10402.5</v>
      </c>
      <c r="Q25" s="36">
        <f>IFERROR(Calculations!$P15/12,"")</f>
        <v>10402.5</v>
      </c>
      <c r="R25" s="36">
        <f>IFERROR(Calculations!$P15/12,"")</f>
        <v>10402.5</v>
      </c>
      <c r="S25" s="36">
        <f>IFERROR(Calculations!$P15/12,"")</f>
        <v>10402.5</v>
      </c>
      <c r="T25" s="36">
        <f>IFERROR(Calculations!$P15/12,"")</f>
        <v>10402.5</v>
      </c>
      <c r="U25" s="36">
        <f>IFERROR(Calculations!$P15/12,"")</f>
        <v>10402.5</v>
      </c>
      <c r="V25" s="36">
        <f>IFERROR(Calculations!$P15/12,"")</f>
        <v>10402.5</v>
      </c>
      <c r="W25" s="36">
        <f>IFERROR(Calculations!$P15/12,"")</f>
        <v>10402.5</v>
      </c>
      <c r="X25" s="36">
        <f>IFERROR(Calculations!$P15/12,"")</f>
        <v>10402.5</v>
      </c>
      <c r="Y25" s="36">
        <f>IFERROR(Calculations!$P15/12,"")</f>
        <v>10402.5</v>
      </c>
      <c r="Z25" s="36">
        <f>SUMIF($B$13:$Y$13,"Yes",B25:Y25)</f>
        <v>135232.5</v>
      </c>
      <c r="AA25" s="36">
        <f>SUM(B25:M25)</f>
        <v>124830</v>
      </c>
      <c r="AB25" s="46">
        <f>SUM(B25:Y25)</f>
        <v>249660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347324.3302862934</v>
      </c>
      <c r="C30" s="19">
        <f>SUM(C18:C29)</f>
        <v>74152.5</v>
      </c>
      <c r="D30" s="19">
        <f>SUM(D18:D29)</f>
        <v>74152.5</v>
      </c>
      <c r="E30" s="19">
        <f>SUM(E18:E29)</f>
        <v>74152.5</v>
      </c>
      <c r="F30" s="19">
        <f>SUM(F18:F29)</f>
        <v>74152.5</v>
      </c>
      <c r="G30" s="19">
        <f>SUM(G18:G29)</f>
        <v>74152.5</v>
      </c>
      <c r="H30" s="19">
        <f>SUM(H18:H29)</f>
        <v>347324.3302862934</v>
      </c>
      <c r="I30" s="19">
        <f>SUM(I18:I29)</f>
        <v>74152.5</v>
      </c>
      <c r="J30" s="19">
        <f>SUM(J18:J29)</f>
        <v>74152.5</v>
      </c>
      <c r="K30" s="19">
        <f>SUM(K18:K29)</f>
        <v>74152.5</v>
      </c>
      <c r="L30" s="19">
        <f>SUM(L18:L29)</f>
        <v>74152.5</v>
      </c>
      <c r="M30" s="19">
        <f>SUM(M18:M29)</f>
        <v>74152.5</v>
      </c>
      <c r="N30" s="19">
        <f>SUM(N18:N29)</f>
        <v>347324.3302862934</v>
      </c>
      <c r="O30" s="19">
        <f>SUM(O18:O29)</f>
        <v>74152.5</v>
      </c>
      <c r="P30" s="19">
        <f>SUM(P18:P29)</f>
        <v>74152.5</v>
      </c>
      <c r="Q30" s="19">
        <f>SUM(Q18:Q29)</f>
        <v>74152.5</v>
      </c>
      <c r="R30" s="19">
        <f>SUM(R18:R29)</f>
        <v>74152.5</v>
      </c>
      <c r="S30" s="19">
        <f>SUM(S18:S29)</f>
        <v>74152.5</v>
      </c>
      <c r="T30" s="19">
        <f>SUM(T18:T29)</f>
        <v>347324.3302862934</v>
      </c>
      <c r="U30" s="19">
        <f>SUM(U18:U29)</f>
        <v>74152.5</v>
      </c>
      <c r="V30" s="19">
        <f>SUM(V18:V29)</f>
        <v>74152.5</v>
      </c>
      <c r="W30" s="19">
        <f>SUM(W18:W29)</f>
        <v>74152.5</v>
      </c>
      <c r="X30" s="19">
        <f>SUM(X18:X29)</f>
        <v>74152.5</v>
      </c>
      <c r="Y30" s="19">
        <f>SUM(Y18:Y29)</f>
        <v>74152.5</v>
      </c>
      <c r="Z30" s="19">
        <f>SUMIF($B$13:$Y$13,"Yes",B30:Y30)</f>
        <v>1783497.99085888</v>
      </c>
      <c r="AA30" s="19">
        <f>SUM(B30:M30)</f>
        <v>1436173.660572587</v>
      </c>
      <c r="AB30" s="19">
        <f>SUM(B30:Y30)</f>
        <v>2872347.321145174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72000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72000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72000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72000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72000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72000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72000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12900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12900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12900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12900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12900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12900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12900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12900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3528</v>
      </c>
      <c r="C66" s="36">
        <f>O66</f>
        <v>0</v>
      </c>
      <c r="D66" s="36">
        <f>P66</f>
        <v>3528</v>
      </c>
      <c r="E66" s="36">
        <f>Q66</f>
        <v>3528</v>
      </c>
      <c r="F66" s="36">
        <f>R66</f>
        <v>3528</v>
      </c>
      <c r="G66" s="36">
        <f>S66</f>
        <v>3528</v>
      </c>
      <c r="H66" s="36">
        <f>T66</f>
        <v>3528</v>
      </c>
      <c r="I66" s="36">
        <f>U66</f>
        <v>0</v>
      </c>
      <c r="J66" s="36">
        <f>V66</f>
        <v>3528</v>
      </c>
      <c r="K66" s="36">
        <f>W66</f>
        <v>3528</v>
      </c>
      <c r="L66" s="36">
        <f>X66</f>
        <v>3528</v>
      </c>
      <c r="M66" s="36">
        <f>Y66</f>
        <v>3528</v>
      </c>
      <c r="N66" s="46">
        <f>SUM(N67:N71)</f>
        <v>3528</v>
      </c>
      <c r="O66" s="46">
        <f>SUM(O67:O71)</f>
        <v>0</v>
      </c>
      <c r="P66" s="46">
        <f>SUM(P67:P71)</f>
        <v>3528</v>
      </c>
      <c r="Q66" s="46">
        <f>SUM(Q67:Q71)</f>
        <v>3528</v>
      </c>
      <c r="R66" s="46">
        <f>SUM(R67:R71)</f>
        <v>3528</v>
      </c>
      <c r="S66" s="46">
        <f>SUM(S67:S71)</f>
        <v>3528</v>
      </c>
      <c r="T66" s="46">
        <f>SUM(T67:T71)</f>
        <v>3528</v>
      </c>
      <c r="U66" s="46">
        <f>SUM(U67:U71)</f>
        <v>0</v>
      </c>
      <c r="V66" s="46">
        <f>SUM(V67:V71)</f>
        <v>3528</v>
      </c>
      <c r="W66" s="46">
        <f>SUM(W67:W71)</f>
        <v>3528</v>
      </c>
      <c r="X66" s="46">
        <f>SUM(X67:X71)</f>
        <v>3528</v>
      </c>
      <c r="Y66" s="46">
        <f>SUM(Y67:Y71)</f>
        <v>3528</v>
      </c>
      <c r="Z66" s="46">
        <f>SUMIF($B$13:$Y$13,"Yes",B66:Y66)</f>
        <v>38808</v>
      </c>
      <c r="AA66" s="46">
        <f>SUM(B66:M66)</f>
        <v>35280</v>
      </c>
      <c r="AB66" s="46">
        <f>SUM(B66:Y66)</f>
        <v>70560</v>
      </c>
    </row>
    <row r="67" spans="1:30" hidden="true" outlineLevel="1">
      <c r="A67" s="181" t="str">
        <f>Calculations!$A$4</f>
        <v>Potatoes</v>
      </c>
      <c r="B67" s="36">
        <f>N67</f>
        <v>3528</v>
      </c>
      <c r="C67" s="36">
        <f>O67</f>
        <v>0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3528</v>
      </c>
      <c r="H67" s="36">
        <f>T67</f>
        <v>3528</v>
      </c>
      <c r="I67" s="36">
        <f>U67</f>
        <v>0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3528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3528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3528</v>
      </c>
      <c r="Z67" s="46">
        <f>SUMIF($B$13:$Y$13,"Yes",B67:Y67)</f>
        <v>38808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45500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35103.12201908623</v>
      </c>
      <c r="C81" s="46">
        <f>(SUM($AA$18:$AA$29)-SUM($AA$36,$AA$42,$AA$48,$AA$54,$AA$60,$AA$66,$AA$72:$AA$79))*Parameters!$B$37/12</f>
        <v>35103.12201908623</v>
      </c>
      <c r="D81" s="46">
        <f>(SUM($AA$18:$AA$29)-SUM($AA$36,$AA$42,$AA$48,$AA$54,$AA$60,$AA$66,$AA$72:$AA$79))*Parameters!$B$37/12</f>
        <v>35103.12201908623</v>
      </c>
      <c r="E81" s="46">
        <f>(SUM($AA$18:$AA$29)-SUM($AA$36,$AA$42,$AA$48,$AA$54,$AA$60,$AA$66,$AA$72:$AA$79))*Parameters!$B$37/12</f>
        <v>35103.12201908623</v>
      </c>
      <c r="F81" s="46">
        <f>(SUM($AA$18:$AA$29)-SUM($AA$36,$AA$42,$AA$48,$AA$54,$AA$60,$AA$66,$AA$72:$AA$79))*Parameters!$B$37/12</f>
        <v>35103.12201908623</v>
      </c>
      <c r="G81" s="46">
        <f>(SUM($AA$18:$AA$29)-SUM($AA$36,$AA$42,$AA$48,$AA$54,$AA$60,$AA$66,$AA$72:$AA$79))*Parameters!$B$37/12</f>
        <v>35103.12201908623</v>
      </c>
      <c r="H81" s="46">
        <f>(SUM($AA$18:$AA$29)-SUM($AA$36,$AA$42,$AA$48,$AA$54,$AA$60,$AA$66,$AA$72:$AA$79))*Parameters!$B$37/12</f>
        <v>35103.12201908623</v>
      </c>
      <c r="I81" s="46">
        <f>(SUM($AA$18:$AA$29)-SUM($AA$36,$AA$42,$AA$48,$AA$54,$AA$60,$AA$66,$AA$72:$AA$79))*Parameters!$B$37/12</f>
        <v>35103.12201908623</v>
      </c>
      <c r="J81" s="46">
        <f>(SUM($AA$18:$AA$29)-SUM($AA$36,$AA$42,$AA$48,$AA$54,$AA$60,$AA$66,$AA$72:$AA$79))*Parameters!$B$37/12</f>
        <v>35103.12201908623</v>
      </c>
      <c r="K81" s="46">
        <f>(SUM($AA$18:$AA$29)-SUM($AA$36,$AA$42,$AA$48,$AA$54,$AA$60,$AA$66,$AA$72:$AA$79))*Parameters!$B$37/12</f>
        <v>35103.12201908623</v>
      </c>
      <c r="L81" s="46">
        <f>(SUM($AA$18:$AA$29)-SUM($AA$36,$AA$42,$AA$48,$AA$54,$AA$60,$AA$66,$AA$72:$AA$79))*Parameters!$B$37/12</f>
        <v>35103.12201908623</v>
      </c>
      <c r="M81" s="46">
        <f>(SUM($AA$18:$AA$29)-SUM($AA$36,$AA$42,$AA$48,$AA$54,$AA$60,$AA$66,$AA$72:$AA$79))*Parameters!$B$37/12</f>
        <v>35103.12201908623</v>
      </c>
      <c r="N81" s="46">
        <f>(SUM($AA$18:$AA$29)-SUM($AA$36,$AA$42,$AA$48,$AA$54,$AA$60,$AA$66,$AA$72:$AA$79))*Parameters!$B$37/12</f>
        <v>35103.12201908623</v>
      </c>
      <c r="O81" s="46">
        <f>(SUM($AA$18:$AA$29)-SUM($AA$36,$AA$42,$AA$48,$AA$54,$AA$60,$AA$66,$AA$72:$AA$79))*Parameters!$B$37/12</f>
        <v>35103.12201908623</v>
      </c>
      <c r="P81" s="46">
        <f>(SUM($AA$18:$AA$29)-SUM($AA$36,$AA$42,$AA$48,$AA$54,$AA$60,$AA$66,$AA$72:$AA$79))*Parameters!$B$37/12</f>
        <v>35103.12201908623</v>
      </c>
      <c r="Q81" s="46">
        <f>(SUM($AA$18:$AA$29)-SUM($AA$36,$AA$42,$AA$48,$AA$54,$AA$60,$AA$66,$AA$72:$AA$79))*Parameters!$B$37/12</f>
        <v>35103.12201908623</v>
      </c>
      <c r="R81" s="46">
        <f>(SUM($AA$18:$AA$29)-SUM($AA$36,$AA$42,$AA$48,$AA$54,$AA$60,$AA$66,$AA$72:$AA$79))*Parameters!$B$37/12</f>
        <v>35103.12201908623</v>
      </c>
      <c r="S81" s="46">
        <f>(SUM($AA$18:$AA$29)-SUM($AA$36,$AA$42,$AA$48,$AA$54,$AA$60,$AA$66,$AA$72:$AA$79))*Parameters!$B$37/12</f>
        <v>35103.12201908623</v>
      </c>
      <c r="T81" s="46">
        <f>(SUM($AA$18:$AA$29)-SUM($AA$36,$AA$42,$AA$48,$AA$54,$AA$60,$AA$66,$AA$72:$AA$79))*Parameters!$B$37/12</f>
        <v>35103.12201908623</v>
      </c>
      <c r="U81" s="46">
        <f>(SUM($AA$18:$AA$29)-SUM($AA$36,$AA$42,$AA$48,$AA$54,$AA$60,$AA$66,$AA$72:$AA$79))*Parameters!$B$37/12</f>
        <v>35103.12201908623</v>
      </c>
      <c r="V81" s="46">
        <f>(SUM($AA$18:$AA$29)-SUM($AA$36,$AA$42,$AA$48,$AA$54,$AA$60,$AA$66,$AA$72:$AA$79))*Parameters!$B$37/12</f>
        <v>35103.12201908623</v>
      </c>
      <c r="W81" s="46">
        <f>(SUM($AA$18:$AA$29)-SUM($AA$36,$AA$42,$AA$48,$AA$54,$AA$60,$AA$66,$AA$72:$AA$79))*Parameters!$B$37/12</f>
        <v>35103.12201908623</v>
      </c>
      <c r="X81" s="46">
        <f>(SUM($AA$18:$AA$29)-SUM($AA$36,$AA$42,$AA$48,$AA$54,$AA$60,$AA$66,$AA$72:$AA$79))*Parameters!$B$37/12</f>
        <v>35103.12201908623</v>
      </c>
      <c r="Y81" s="46">
        <f>(SUM($AA$18:$AA$29)-SUM($AA$36,$AA$42,$AA$48,$AA$54,$AA$60,$AA$66,$AA$72:$AA$79))*Parameters!$B$37/12</f>
        <v>35103.12201908623</v>
      </c>
      <c r="Z81" s="46">
        <f>SUMIF($B$13:$Y$13,"Yes",B81:Y81)</f>
        <v>456340.5862481209</v>
      </c>
      <c r="AA81" s="46">
        <f>SUM(B81:M81)</f>
        <v>421237.4642290347</v>
      </c>
      <c r="AB81" s="46">
        <f>SUM(B81:Y81)</f>
        <v>842474.9284580697</v>
      </c>
    </row>
    <row r="82" spans="1:30">
      <c r="A82" s="16" t="s">
        <v>52</v>
      </c>
      <c r="B82" s="46">
        <f>SUM(B83:B87)</f>
        <v>32204.54545454545</v>
      </c>
      <c r="C82" s="46">
        <f>SUM(C83:C87)</f>
        <v>32204.54545454545</v>
      </c>
      <c r="D82" s="46">
        <f>SUM(D83:D87)</f>
        <v>17090.9090909091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81500</v>
      </c>
      <c r="AA82" s="46">
        <f>SUM(B82:M82)</f>
        <v>81500</v>
      </c>
      <c r="AB82" s="46">
        <f>SUM(B82:Y82)</f>
        <v>81500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32204.54545454545</v>
      </c>
      <c r="C85" s="46">
        <f>IF(Calculations!$E25&gt;COUNT(Output!$B$35:C$35),Calculations!$B25,IF(Calculations!$E25=COUNT(Output!$B$35:C$35),Inputs!$B58-Calculations!$C25*(Calculations!$E25-1)+Calculations!$D25,0))</f>
        <v>32204.54545454545</v>
      </c>
      <c r="D85" s="46">
        <f>IF(Calculations!$E25&gt;COUNT(Output!$B$35:D$35),Calculations!$B25,IF(Calculations!$E25=COUNT(Output!$B$35:D$35),Inputs!$B58-Calculations!$C25*(Calculations!$E25-1)+Calculations!$D25,0))</f>
        <v>17090.9090909091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81500</v>
      </c>
      <c r="AA85" s="46">
        <f>SUM(B85:M85)</f>
        <v>81500</v>
      </c>
      <c r="AB85" s="46">
        <f>SUM(B85:Y85)</f>
        <v>81500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85669.00080696502</v>
      </c>
      <c r="C88" s="19">
        <f>SUM(C72:C82,C66,C60,C54,C48,C42,C36)</f>
        <v>82141.00080696502</v>
      </c>
      <c r="D88" s="19">
        <f>SUM(D72:D82,D66,D60,D54,D48,D42,D36)</f>
        <v>142555.3644433287</v>
      </c>
      <c r="E88" s="19">
        <f>SUM(E72:E82,E66,E60,E54,E48,E42,E36)</f>
        <v>53464.45535241957</v>
      </c>
      <c r="F88" s="19">
        <f>SUM(F72:F82,F66,F60,F54,F48,F42,F36)</f>
        <v>66364.45535241957</v>
      </c>
      <c r="G88" s="19">
        <f>SUM(G72:G82,G66,G60,G54,G48,G42,G36)</f>
        <v>53464.45535241957</v>
      </c>
      <c r="H88" s="19">
        <f>SUM(H72:H82,H66,H60,H54,H48,H42,H36)</f>
        <v>53464.45535241957</v>
      </c>
      <c r="I88" s="19">
        <f>SUM(I72:I82,I66,I60,I54,I48,I42,I36)</f>
        <v>49936.45535241957</v>
      </c>
      <c r="J88" s="19">
        <f>SUM(J72:J82,J66,J60,J54,J48,J42,J36)</f>
        <v>125464.4553524196</v>
      </c>
      <c r="K88" s="19">
        <f>SUM(K72:K82,K66,K60,K54,K48,K42,K36)</f>
        <v>53464.45535241957</v>
      </c>
      <c r="L88" s="19">
        <f>SUM(L72:L82,L66,L60,L54,L48,L42,L36)</f>
        <v>66364.45535241957</v>
      </c>
      <c r="M88" s="19">
        <f>SUM(M72:M82,M66,M60,M54,M48,M42,M36)</f>
        <v>53464.45535241957</v>
      </c>
      <c r="N88" s="19">
        <f>SUM(N72:N82,N66,N60,N54,N48,N42,N36)</f>
        <v>53464.45535241957</v>
      </c>
      <c r="O88" s="19">
        <f>SUM(O72:O82,O66,O60,O54,O48,O42,O36)</f>
        <v>49936.45535241957</v>
      </c>
      <c r="P88" s="19">
        <f>SUM(P72:P82,P66,P60,P54,P48,P42,P36)</f>
        <v>125464.4553524196</v>
      </c>
      <c r="Q88" s="19">
        <f>SUM(Q72:Q82,Q66,Q60,Q54,Q48,Q42,Q36)</f>
        <v>53464.45535241957</v>
      </c>
      <c r="R88" s="19">
        <f>SUM(R72:R82,R66,R60,R54,R48,R42,R36)</f>
        <v>66364.45535241957</v>
      </c>
      <c r="S88" s="19">
        <f>SUM(S72:S82,S66,S60,S54,S48,S42,S36)</f>
        <v>53464.45535241957</v>
      </c>
      <c r="T88" s="19">
        <f>SUM(T72:T82,T66,T60,T54,T48,T42,T36)</f>
        <v>53464.45535241957</v>
      </c>
      <c r="U88" s="19">
        <f>SUM(U72:U82,U66,U60,U54,U48,U42,U36)</f>
        <v>49936.45535241957</v>
      </c>
      <c r="V88" s="19">
        <f>SUM(V72:V82,V66,V60,V54,V48,V42,V36)</f>
        <v>125464.4553524196</v>
      </c>
      <c r="W88" s="19">
        <f>SUM(W72:W82,W66,W60,W54,W48,W42,W36)</f>
        <v>53464.45535241957</v>
      </c>
      <c r="X88" s="19">
        <f>SUM(X72:X82,X66,X60,X54,X48,X42,X36)</f>
        <v>66364.45535241957</v>
      </c>
      <c r="Y88" s="19">
        <f>SUM(Y72:Y82,Y66,Y60,Y54,Y48,Y42,Y36)</f>
        <v>53464.45535241957</v>
      </c>
      <c r="Z88" s="19">
        <f>SUMIF($B$13:$Y$13,"Yes",B88:Y88)</f>
        <v>939281.9195814541</v>
      </c>
      <c r="AA88" s="19">
        <f>SUM(B88:M88)</f>
        <v>885817.4642290346</v>
      </c>
      <c r="AB88" s="19">
        <f>SUM(B88:Y88)</f>
        <v>1690134.928458069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920000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3267000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</v>
      </c>
    </row>
    <row r="105" spans="1:30">
      <c r="A105" t="s">
        <v>70</v>
      </c>
      <c r="B105" s="36">
        <f>SUM(Inputs!B56:B60)</f>
        <v>65000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265500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</v>
      </c>
      <c r="D20" s="147">
        <v>4</v>
      </c>
      <c r="E20" s="16"/>
      <c r="F20" s="147" t="s">
        <v>93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45000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500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250000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>
        <v>300000</v>
      </c>
      <c r="B58" s="157">
        <v>65000</v>
      </c>
      <c r="C58" s="164" t="s">
        <v>149</v>
      </c>
      <c r="D58" s="165" t="s">
        <v>144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151</v>
      </c>
      <c r="C65" s="10" t="s">
        <v>152</v>
      </c>
    </row>
    <row r="66" spans="1:48">
      <c r="A66" s="142" t="s">
        <v>153</v>
      </c>
      <c r="B66" s="159">
        <v>185090</v>
      </c>
      <c r="C66" s="163">
        <v>178203</v>
      </c>
      <c r="D66" s="49">
        <f>INDEX(Parameters!$D$79:$D$90,MATCH(Inputs!A66,Parameters!$C$79:$C$90,0))</f>
        <v>2</v>
      </c>
    </row>
    <row r="67" spans="1:48">
      <c r="A67" s="143" t="s">
        <v>154</v>
      </c>
      <c r="B67" s="157">
        <v>122757</v>
      </c>
      <c r="C67" s="165">
        <v>102478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9258</v>
      </c>
      <c r="C68" s="165">
        <v>9122</v>
      </c>
      <c r="D68" s="49">
        <f>INDEX(Parameters!$D$79:$D$90,MATCH(Inputs!A68,Parameters!$C$79:$C$90,0))</f>
        <v>12</v>
      </c>
    </row>
    <row r="69" spans="1:48">
      <c r="A69" s="143" t="s">
        <v>156</v>
      </c>
      <c r="B69" s="157">
        <v>38015</v>
      </c>
      <c r="C69" s="165">
        <v>38034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141195</v>
      </c>
      <c r="C70" s="165">
        <v>141185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153090</v>
      </c>
      <c r="C71" s="167">
        <v>138090</v>
      </c>
      <c r="D71" s="49">
        <f>INDEX(Parameters!$D$79:$D$90,MATCH(Inputs!A71,Parameters!$C$79:$C$90,0))</f>
        <v>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546343.6605725868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124830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300000</v>
      </c>
      <c r="B25" s="46">
        <f>SUM(C25:D25)</f>
        <v>32204.54545454545</v>
      </c>
      <c r="C25" s="46">
        <f>IF(Inputs!B58&gt;0,(Inputs!A58-Inputs!B58)/(DATE(YEAR(Inputs!$B$76),MONTH(Inputs!$B$76),DAY(Inputs!$B$76))-DATE(YEAR(Inputs!C58),MONTH(Inputs!C58),DAY(Inputs!C58)))*30,0)</f>
        <v>26704.54545454545</v>
      </c>
      <c r="D25" s="46">
        <f>IF(Inputs!B58&gt;0,Inputs!A58*0.22/12,0)</f>
        <v>5500</v>
      </c>
      <c r="E25" s="46">
        <f>IFERROR(ROUNDUP(Inputs!B58/B25,0),0)</f>
        <v>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43198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163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164</v>
      </c>
      <c r="G34" s="128">
        <f>IF(Inputs!B80="","",DATE(YEAR(Inputs!B80),MONTH(Inputs!B80),DAY(Inputs!B80)))</f>
        <v>43198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