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<sst xmlns="http://schemas.openxmlformats.org/spreadsheetml/2006/main" uniqueCount="374">
  <si>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</si>
  <si>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</si>
  <si>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</si>
  <si>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</si>
  <si>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</si>
  <si>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</si>
  <si>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</si>
  <si>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</si>
  <si>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</si>
  <si>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</si>
  <si>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</si>
  <si>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</si>
  <si>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</si>
  <si>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</si>
  <si>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</si>
  <si>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</si>
  <si>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</si>
  <si>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</si>
  <si>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</si>
  <si>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</si>
  <si>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</si>
  <si>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</si>
  <si>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</si>
  <si>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</si>
  <si>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</si>
  <si>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</si>
  <si>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</si>
  <si>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</si>
  <si>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</si>
  <si>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</si>
  <si>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</si>
  <si>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</si>
  <si>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</si>
  <si>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</si>
  <si>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</si>
  <si>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</si>
  <si>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</si>
  <si>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</si>
  <si>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</si>
  <si>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</si>
  <si>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</si>
  <si>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</si>
  <si>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</si>
  <si>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</si>
  <si>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</si>
  <si>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</si>
  <si>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</si>
  <si>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</si>
  <si>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</si>
  <si>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</si>
  <si>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</si>
  <si>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</si>
  <si>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</si>
  <si>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</si>
  <si>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</si>
  <si>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</si>
  <si>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</si>
  <si>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</si>
  <si>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</si>
  <si>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</si>
  <si>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</si>
  <si>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</si>
  <si>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</si>
  <si>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</si>
  <si>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</si>
  <si>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</si>
  <si>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</si>
  <si>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</si>
  <si>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</si>
  <si>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</si>
  <si>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</si>
  <si>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</si>
  <si>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</si>
  <si>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</si>
  <si>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</si>
  <si>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</si>
  <si>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</si>
  <si>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</si>
  <si>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</si>
  <si>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</si>
  <si>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</si>
  <si>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</si>
  <si>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</si>
  <si>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</si>
  <si>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</si>
  <si>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</si>
  <si>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</si>
  <si>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</si>
  <si>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</si>
  <si>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</si>
  <si>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</si>
  <si>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</si>
  <si>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</si>
  <si>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</si>
  <si>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</si>
  <si>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</si>
  <si>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</si>
  <si>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</si>
  <si>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</si>
  <si>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</si>
  <si>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</si>
  <si>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</si>
  <si>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</si>
  <si>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</si>
  <si>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</si>
  <si>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</si>
  <si>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</si>
  <si>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</si>
  <si>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</si>
  <si>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</si>
  <si>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</si>
  <si>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</si>
  <si>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</si>
  <si>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</si>
  <si>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</si>
  <si>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</si>
  <si>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</si>
  <si>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</si>
  <si>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</si>
  <si>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</si>
  <si>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</si>
  <si>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</si>
  <si>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</si>
  <si>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</si>
  <si>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</si>
  <si>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</si>
  <si>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</si>
  <si>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</si>
  <si>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</si>
  <si>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</si>
  <si>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</si>
  <si>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</si>
  <si>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</si>
  <si>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</si>
  <si>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</si>
  <si>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</si>
  <si>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</si>
  <si>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</si>
  <si>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</si>
  <si>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5/16/2014</t>
  </si>
  <si>
    <t xml:space="preserve">family bank </t>
  </si>
  <si>
    <t xml:space="preserve">good loan history </t>
  </si>
  <si>
    <t>5/4/2015</t>
  </si>
  <si>
    <t xml:space="preserve">average loan repayment </t>
  </si>
  <si>
    <t>6/22/2010</t>
  </si>
  <si>
    <t>7/15/2015</t>
  </si>
  <si>
    <t>12/18/2014</t>
  </si>
  <si>
    <t xml:space="preserve">mobile 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</si>
  <si>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</si>
  <si>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</si>
  <si>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</si>
  <si>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</si>
  <si>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</si>
  <si>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</si>
  <si>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</si>
  <si>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</si>
  <si>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</si>
  <si>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</si>
  <si>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</si>
  <si>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2018/3/9</t>
  </si>
  <si>
    <t>Loan terms</t>
  </si>
  <si>
    <t>Expected disbursement date</t>
  </si>
  <si>
    <t>Expected first repayment date</t>
  </si>
  <si>
    <t>2018/4/9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</si>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</sst>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1.843475881213005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0.02502979737783075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46156.68386457008</v>
      </c>
    </row>
    <row r="18" spans="1:7">
      <c r="B18" s="1" t="s">
        <v>12</v>
      </c>
      <c r="C18" s="36">
        <f>MIN(Output!B6:M6)</f>
        <v>-81062.26021469834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146791.6430057767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261815.2</v>
      </c>
    </row>
    <row r="25" spans="1:7">
      <c r="B25" s="1" t="s">
        <v>18</v>
      </c>
      <c r="C25" s="36">
        <f>MAX(Inputs!A56:A60)</f>
        <v>554644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-81062.26021469834</v>
      </c>
      <c r="C6" s="51">
        <f>C30-C88</f>
        <v>-9062.260214698337</v>
      </c>
      <c r="D6" s="51">
        <f>D30-D88</f>
        <v>-21962.26021469834</v>
      </c>
      <c r="E6" s="51">
        <f>E30-E88</f>
        <v>-9062.260214698337</v>
      </c>
      <c r="F6" s="51">
        <f>F30-F88</f>
        <v>146791.6430057767</v>
      </c>
      <c r="G6" s="51">
        <f>G30-G88</f>
        <v>-2564.260214698338</v>
      </c>
      <c r="H6" s="51">
        <f>H30-H88</f>
        <v>-81062.26021469834</v>
      </c>
      <c r="I6" s="51">
        <f>I30-I88</f>
        <v>-9062.260214698337</v>
      </c>
      <c r="J6" s="51">
        <f>J30-J88</f>
        <v>-21962.26021469834</v>
      </c>
      <c r="K6" s="51">
        <f>K30-K88</f>
        <v>-9062.260214698337</v>
      </c>
      <c r="L6" s="51">
        <f>L30-L88</f>
        <v>146791.6430057767</v>
      </c>
      <c r="M6" s="51">
        <f>M30-M88</f>
        <v>-2564.260214698338</v>
      </c>
      <c r="N6" s="51">
        <f>N30-N88</f>
        <v>-81062.26021469834</v>
      </c>
      <c r="O6" s="51">
        <f>O30-O88</f>
        <v>-9062.260214698337</v>
      </c>
      <c r="P6" s="51">
        <f>P30-P88</f>
        <v>-21962.26021469834</v>
      </c>
      <c r="Q6" s="51">
        <f>Q30-Q88</f>
        <v>-9062.260214698337</v>
      </c>
      <c r="R6" s="51">
        <f>R30-R88</f>
        <v>146791.6430057767</v>
      </c>
      <c r="S6" s="51">
        <f>S30-S88</f>
        <v>-2564.260214698338</v>
      </c>
      <c r="T6" s="51">
        <f>T30-T88</f>
        <v>-81062.26021469834</v>
      </c>
      <c r="U6" s="51">
        <f>U30-U88</f>
        <v>-9062.260214698337</v>
      </c>
      <c r="V6" s="51">
        <f>V30-V88</f>
        <v>-21962.26021469834</v>
      </c>
      <c r="W6" s="51">
        <f>W30-W88</f>
        <v>-9062.260214698337</v>
      </c>
      <c r="X6" s="51">
        <f>X30-X88</f>
        <v>146791.6430057767</v>
      </c>
      <c r="Y6" s="51">
        <f>Y30-Y88</f>
        <v>-2564.260214698338</v>
      </c>
      <c r="Z6" s="51">
        <f>SUMIF($B$13:$Y$13,"Yes",B6:Y6)</f>
        <v>-34905.57635012826</v>
      </c>
      <c r="AA6" s="51">
        <f>AA30-AA88</f>
        <v>46156.68386457011</v>
      </c>
      <c r="AB6" s="51">
        <f>AB30-AB88</f>
        <v>92313.36772914021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</v>
      </c>
      <c r="C7" s="80">
        <f>IF(ISERROR(VLOOKUP(MONTH(C5),Inputs!$D$66:$D$71,1,0)),"",INDEX(Inputs!$B$66:$B$71,MATCH(MONTH(Output!C5),Inputs!$D$66:$D$71,0))-INDEX(Inputs!$C$66:$C$71,MATCH(MONTH(Output!C5),Inputs!$D$66:$D$71,0)))</f>
        <v>-9000</v>
      </c>
      <c r="D7" s="80">
        <f>IF(ISERROR(VLOOKUP(MONTH(D5),Inputs!$D$66:$D$71,1,0)),"",INDEX(Inputs!$B$66:$B$71,MATCH(MONTH(Output!D5),Inputs!$D$66:$D$71,0))-INDEX(Inputs!$C$66:$C$71,MATCH(MONTH(Output!D5),Inputs!$D$66:$D$71,0)))</f>
        <v>-20000</v>
      </c>
      <c r="E7" s="80">
        <f>IF(ISERROR(VLOOKUP(MONTH(E5),Inputs!$D$66:$D$71,1,0)),"",INDEX(Inputs!$B$66:$B$71,MATCH(MONTH(Output!E5),Inputs!$D$66:$D$71,0))-INDEX(Inputs!$C$66:$C$71,MATCH(MONTH(Output!E5),Inputs!$D$66:$D$71,0)))</f>
        <v>-10000</v>
      </c>
      <c r="F7" s="80">
        <f>IF(ISERROR(VLOOKUP(MONTH(F5),Inputs!$D$66:$D$71,1,0)),"",INDEX(Inputs!$B$66:$B$71,MATCH(MONTH(Output!F5),Inputs!$D$66:$D$71,0))-INDEX(Inputs!$C$66:$C$71,MATCH(MONTH(Output!F5),Inputs!$D$66:$D$71,0)))</f>
        <v>15000</v>
      </c>
      <c r="G7" s="80">
        <f>IF(ISERROR(VLOOKUP(MONTH(G5),Inputs!$D$66:$D$71,1,0)),"",INDEX(Inputs!$B$66:$B$71,MATCH(MONTH(Output!G5),Inputs!$D$66:$D$71,0))-INDEX(Inputs!$C$66:$C$71,MATCH(MONTH(Output!G5),Inputs!$D$66:$D$71,0)))</f>
        <v>200000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</v>
      </c>
      <c r="O7" s="80">
        <f>IF(ISERROR(VLOOKUP(MONTH(O5),Inputs!$D$66:$D$71,1,0)),"",INDEX(Inputs!$B$66:$B$71,MATCH(MONTH(Output!O5),Inputs!$D$66:$D$71,0))-INDEX(Inputs!$C$66:$C$71,MATCH(MONTH(Output!O5),Inputs!$D$66:$D$71,0)))</f>
        <v>-9000</v>
      </c>
      <c r="P7" s="80">
        <f>IF(ISERROR(VLOOKUP(MONTH(P5),Inputs!$D$66:$D$71,1,0)),"",INDEX(Inputs!$B$66:$B$71,MATCH(MONTH(Output!P5),Inputs!$D$66:$D$71,0))-INDEX(Inputs!$C$66:$C$71,MATCH(MONTH(Output!P5),Inputs!$D$66:$D$71,0)))</f>
        <v>-20000</v>
      </c>
      <c r="Q7" s="80">
        <f>IF(ISERROR(VLOOKUP(MONTH(Q5),Inputs!$D$66:$D$71,1,0)),"",INDEX(Inputs!$B$66:$B$71,MATCH(MONTH(Output!Q5),Inputs!$D$66:$D$71,0))-INDEX(Inputs!$C$66:$C$71,MATCH(MONTH(Output!Q5),Inputs!$D$66:$D$71,0)))</f>
        <v>-10000</v>
      </c>
      <c r="R7" s="80">
        <f>IF(ISERROR(VLOOKUP(MONTH(R5),Inputs!$D$66:$D$71,1,0)),"",INDEX(Inputs!$B$66:$B$71,MATCH(MONTH(Output!R5),Inputs!$D$66:$D$71,0))-INDEX(Inputs!$C$66:$C$71,MATCH(MONTH(Output!R5),Inputs!$D$66:$D$71,0)))</f>
        <v>15000</v>
      </c>
      <c r="S7" s="80">
        <f>IF(ISERROR(VLOOKUP(MONTH(S5),Inputs!$D$66:$D$71,1,0)),"",INDEX(Inputs!$B$66:$B$71,MATCH(MONTH(Output!S5),Inputs!$D$66:$D$71,0))-INDEX(Inputs!$C$66:$C$71,MATCH(MONTH(Output!S5),Inputs!$D$66:$D$71,0)))</f>
        <v>200000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18937.73978530166</v>
      </c>
      <c r="C11" s="80">
        <f>C6+C9-C10</f>
        <v>-19062.26021469834</v>
      </c>
      <c r="D11" s="80">
        <f>D6+D9-D10</f>
        <v>-31962.26021469834</v>
      </c>
      <c r="E11" s="80">
        <f>E6+E9-E10</f>
        <v>-19062.26021469834</v>
      </c>
      <c r="F11" s="80">
        <f>F6+F9-F10</f>
        <v>136791.6430057767</v>
      </c>
      <c r="G11" s="80">
        <f>G6+G9-G10</f>
        <v>-12564.26021469834</v>
      </c>
      <c r="H11" s="80">
        <f>H6+H9-H10</f>
        <v>-91062.26021469834</v>
      </c>
      <c r="I11" s="80">
        <f>I6+I9-I10</f>
        <v>-19062.26021469834</v>
      </c>
      <c r="J11" s="80">
        <f>J6+J9-J10</f>
        <v>-31962.26021469834</v>
      </c>
      <c r="K11" s="80">
        <f>K6+K9-K10</f>
        <v>-19062.26021469834</v>
      </c>
      <c r="L11" s="80">
        <f>L6+L9-L10</f>
        <v>136791.6430057767</v>
      </c>
      <c r="M11" s="80">
        <f>M6+M9-M10</f>
        <v>-12564.26021469834</v>
      </c>
      <c r="N11" s="80">
        <f>N6+N9-N10</f>
        <v>-91062.26021469834</v>
      </c>
      <c r="O11" s="80">
        <f>O6+O9-O10</f>
        <v>-9062.260214698337</v>
      </c>
      <c r="P11" s="80">
        <f>P6+P9-P10</f>
        <v>-21962.26021469834</v>
      </c>
      <c r="Q11" s="80">
        <f>Q6+Q9-Q10</f>
        <v>-9062.260214698337</v>
      </c>
      <c r="R11" s="80">
        <f>R6+R9-R10</f>
        <v>146791.6430057767</v>
      </c>
      <c r="S11" s="80">
        <f>S6+S9-S10</f>
        <v>-2564.260214698338</v>
      </c>
      <c r="T11" s="80">
        <f>T6+T9-T10</f>
        <v>-81062.26021469834</v>
      </c>
      <c r="U11" s="80">
        <f>U6+U9-U10</f>
        <v>-9062.260214698337</v>
      </c>
      <c r="V11" s="80">
        <f>V6+V9-V10</f>
        <v>-21962.26021469834</v>
      </c>
      <c r="W11" s="80">
        <f>W6+W9-W10</f>
        <v>-9062.260214698337</v>
      </c>
      <c r="X11" s="80">
        <f>X6+X9-X10</f>
        <v>146791.6430057767</v>
      </c>
      <c r="Y11" s="80">
        <f>Y6+Y9-Y10</f>
        <v>-2564.260214698338</v>
      </c>
      <c r="Z11" s="85">
        <f>SUMIF($B$13:$Y$13,"Yes",B11:Y11)</f>
        <v>-54905.57635012825</v>
      </c>
      <c r="AA11" s="80">
        <f>SUM(B11:M11)</f>
        <v>36156.68386457009</v>
      </c>
      <c r="AB11" s="46">
        <f>SUM(B11:Y11)</f>
        <v>72313.36772914017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1.012609051388992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0.3183633522107882</v>
      </c>
      <c r="G12" s="82">
        <f>IF(G13="Yes",IF(SUM($B$10:G10)/(SUM($B$6:G6)+SUM($B$9:G9))&lt;0,999.99,SUM($B$10:G10)/(SUM($B$6:G6)+SUM($B$9:G9))),"")</f>
        <v>0.4062453167228146</v>
      </c>
      <c r="H12" s="82">
        <f>IF(H13="Yes",IF(SUM($B$10:H10)/(SUM($B$6:H6)+SUM($B$9:H9))&lt;0,999.99,SUM($B$10:H10)/(SUM($B$6:H6)+SUM($B$9:H9))),"")</f>
        <v>1.42802464073859</v>
      </c>
      <c r="I12" s="82">
        <f>IF(I13="Yes",IF(SUM($B$10:I10)/(SUM($B$6:I6)+SUM($B$9:I9))&lt;0,999.99,SUM($B$10:I10)/(SUM($B$6:I6)+SUM($B$9:I9))),"")</f>
        <v>2.124184595521482</v>
      </c>
      <c r="J12" s="82">
        <f>IF(J13="Yes",IF(SUM($B$10:J10)/(SUM($B$6:J6)+SUM($B$9:J9))&lt;0,999.99,SUM($B$10:J10)/(SUM($B$6:J6)+SUM($B$9:J9))),"")</f>
        <v>7.278310869808526</v>
      </c>
      <c r="K12" s="82">
        <f>IF(K13="Yes",IF(SUM($B$10:K10)/(SUM($B$6:K6)+SUM($B$9:K9))&lt;0,999.99,SUM($B$10:K10)/(SUM($B$6:K6)+SUM($B$9:K9))),"")</f>
        <v>46.64901773838584</v>
      </c>
      <c r="L12" s="82">
        <f>IF(L13="Yes",IF(SUM($B$10:L10)/(SUM($B$6:L6)+SUM($B$9:L9))&lt;0,999.99,SUM($B$10:L10)/(SUM($B$6:L6)+SUM($B$9:L9))),"")</f>
        <v>0.6724002501402888</v>
      </c>
      <c r="M12" s="82">
        <f>IF(M13="Yes",IF(SUM($B$10:M10)/(SUM($B$6:M6)+SUM($B$9:M9))&lt;0,999.99,SUM($B$10:M10)/(SUM($B$6:M6)+SUM($B$9:M9))),"")</f>
        <v>0.7526169661999642</v>
      </c>
      <c r="N12" s="82">
        <f>IF(N13="Yes",IF(SUM($B$10:N10)/(SUM($B$6:N6)+SUM($B$9:N9))&lt;0,999.99,SUM($B$10:N10)/(SUM($B$6:N6)+SUM($B$9:N9))),"")</f>
        <v>1.843475881213005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155853.9032204751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155853.9032204751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155853.9032204751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155853.9032204751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311707.8064409501</v>
      </c>
      <c r="AA18" s="36">
        <f>SUM(B18:M18)</f>
        <v>311707.8064409501</v>
      </c>
      <c r="AB18" s="36">
        <f>SUM(B18:Y18)</f>
        <v>623415.6128819003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155853.9032204751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155853.9032204751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155853.9032204751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155853.9032204751</v>
      </c>
      <c r="Y30" s="19">
        <f>SUM(Y18:Y29)</f>
        <v>0</v>
      </c>
      <c r="Z30" s="19">
        <f>SUMIF($B$13:$Y$13,"Yes",B30:Y30)</f>
        <v>311707.8064409501</v>
      </c>
      <c r="AA30" s="19">
        <f>SUM(B30:M30)</f>
        <v>311707.8064409501</v>
      </c>
      <c r="AB30" s="19">
        <f>SUM(B30:Y30)</f>
        <v>623415.6128819003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72000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72000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72000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72000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216000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72000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72000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72000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72000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216000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12900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12900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12900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12900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12900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12900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12900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12900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6498</v>
      </c>
      <c r="C66" s="36">
        <f>O66</f>
        <v>6498</v>
      </c>
      <c r="D66" s="36">
        <f>P66</f>
        <v>6498</v>
      </c>
      <c r="E66" s="36">
        <f>Q66</f>
        <v>6498</v>
      </c>
      <c r="F66" s="36">
        <f>R66</f>
        <v>6498</v>
      </c>
      <c r="G66" s="36">
        <f>S66</f>
        <v>0</v>
      </c>
      <c r="H66" s="36">
        <f>T66</f>
        <v>6498</v>
      </c>
      <c r="I66" s="36">
        <f>U66</f>
        <v>6498</v>
      </c>
      <c r="J66" s="36">
        <f>V66</f>
        <v>6498</v>
      </c>
      <c r="K66" s="36">
        <f>W66</f>
        <v>6498</v>
      </c>
      <c r="L66" s="36">
        <f>X66</f>
        <v>6498</v>
      </c>
      <c r="M66" s="36">
        <f>Y66</f>
        <v>0</v>
      </c>
      <c r="N66" s="46">
        <f>SUM(N67:N71)</f>
        <v>6498</v>
      </c>
      <c r="O66" s="46">
        <f>SUM(O67:O71)</f>
        <v>6498</v>
      </c>
      <c r="P66" s="46">
        <f>SUM(P67:P71)</f>
        <v>6498</v>
      </c>
      <c r="Q66" s="46">
        <f>SUM(Q67:Q71)</f>
        <v>6498</v>
      </c>
      <c r="R66" s="46">
        <f>SUM(R67:R71)</f>
        <v>6498</v>
      </c>
      <c r="S66" s="46">
        <f>SUM(S67:S71)</f>
        <v>0</v>
      </c>
      <c r="T66" s="46">
        <f>SUM(T67:T71)</f>
        <v>6498</v>
      </c>
      <c r="U66" s="46">
        <f>SUM(U67:U71)</f>
        <v>6498</v>
      </c>
      <c r="V66" s="46">
        <f>SUM(V67:V71)</f>
        <v>6498</v>
      </c>
      <c r="W66" s="46">
        <f>SUM(W67:W71)</f>
        <v>6498</v>
      </c>
      <c r="X66" s="46">
        <f>SUM(X67:X71)</f>
        <v>6498</v>
      </c>
      <c r="Y66" s="46">
        <f>SUM(Y67:Y71)</f>
        <v>0</v>
      </c>
      <c r="Z66" s="46">
        <f>SUMIF($B$13:$Y$13,"Yes",B66:Y66)</f>
        <v>71478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6498</v>
      </c>
      <c r="C67" s="36">
        <f>O67</f>
        <v>6498</v>
      </c>
      <c r="D67" s="36">
        <f>P67</f>
        <v>6498</v>
      </c>
      <c r="E67" s="36">
        <f>Q67</f>
        <v>6498</v>
      </c>
      <c r="F67" s="36">
        <f>R67</f>
        <v>6498</v>
      </c>
      <c r="G67" s="36">
        <f>S67</f>
        <v>0</v>
      </c>
      <c r="H67" s="36">
        <f>T67</f>
        <v>6498</v>
      </c>
      <c r="I67" s="36">
        <f>U67</f>
        <v>6498</v>
      </c>
      <c r="J67" s="36">
        <f>V67</f>
        <v>6498</v>
      </c>
      <c r="K67" s="36">
        <f>W67</f>
        <v>6498</v>
      </c>
      <c r="L67" s="36">
        <f>X67</f>
        <v>6498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6498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6498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71478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2564.260214698338</v>
      </c>
      <c r="C81" s="46">
        <f>(SUM($AA$18:$AA$29)-SUM($AA$36,$AA$42,$AA$48,$AA$54,$AA$60,$AA$66,$AA$72:$AA$79))*Parameters!$B$37/12</f>
        <v>2564.260214698338</v>
      </c>
      <c r="D81" s="46">
        <f>(SUM($AA$18:$AA$29)-SUM($AA$36,$AA$42,$AA$48,$AA$54,$AA$60,$AA$66,$AA$72:$AA$79))*Parameters!$B$37/12</f>
        <v>2564.260214698338</v>
      </c>
      <c r="E81" s="46">
        <f>(SUM($AA$18:$AA$29)-SUM($AA$36,$AA$42,$AA$48,$AA$54,$AA$60,$AA$66,$AA$72:$AA$79))*Parameters!$B$37/12</f>
        <v>2564.260214698338</v>
      </c>
      <c r="F81" s="46">
        <f>(SUM($AA$18:$AA$29)-SUM($AA$36,$AA$42,$AA$48,$AA$54,$AA$60,$AA$66,$AA$72:$AA$79))*Parameters!$B$37/12</f>
        <v>2564.260214698338</v>
      </c>
      <c r="G81" s="46">
        <f>(SUM($AA$18:$AA$29)-SUM($AA$36,$AA$42,$AA$48,$AA$54,$AA$60,$AA$66,$AA$72:$AA$79))*Parameters!$B$37/12</f>
        <v>2564.260214698338</v>
      </c>
      <c r="H81" s="46">
        <f>(SUM($AA$18:$AA$29)-SUM($AA$36,$AA$42,$AA$48,$AA$54,$AA$60,$AA$66,$AA$72:$AA$79))*Parameters!$B$37/12</f>
        <v>2564.260214698338</v>
      </c>
      <c r="I81" s="46">
        <f>(SUM($AA$18:$AA$29)-SUM($AA$36,$AA$42,$AA$48,$AA$54,$AA$60,$AA$66,$AA$72:$AA$79))*Parameters!$B$37/12</f>
        <v>2564.260214698338</v>
      </c>
      <c r="J81" s="46">
        <f>(SUM($AA$18:$AA$29)-SUM($AA$36,$AA$42,$AA$48,$AA$54,$AA$60,$AA$66,$AA$72:$AA$79))*Parameters!$B$37/12</f>
        <v>2564.260214698338</v>
      </c>
      <c r="K81" s="46">
        <f>(SUM($AA$18:$AA$29)-SUM($AA$36,$AA$42,$AA$48,$AA$54,$AA$60,$AA$66,$AA$72:$AA$79))*Parameters!$B$37/12</f>
        <v>2564.260214698338</v>
      </c>
      <c r="L81" s="46">
        <f>(SUM($AA$18:$AA$29)-SUM($AA$36,$AA$42,$AA$48,$AA$54,$AA$60,$AA$66,$AA$72:$AA$79))*Parameters!$B$37/12</f>
        <v>2564.260214698338</v>
      </c>
      <c r="M81" s="46">
        <f>(SUM($AA$18:$AA$29)-SUM($AA$36,$AA$42,$AA$48,$AA$54,$AA$60,$AA$66,$AA$72:$AA$79))*Parameters!$B$37/12</f>
        <v>2564.260214698338</v>
      </c>
      <c r="N81" s="46">
        <f>(SUM($AA$18:$AA$29)-SUM($AA$36,$AA$42,$AA$48,$AA$54,$AA$60,$AA$66,$AA$72:$AA$79))*Parameters!$B$37/12</f>
        <v>2564.260214698338</v>
      </c>
      <c r="O81" s="46">
        <f>(SUM($AA$18:$AA$29)-SUM($AA$36,$AA$42,$AA$48,$AA$54,$AA$60,$AA$66,$AA$72:$AA$79))*Parameters!$B$37/12</f>
        <v>2564.260214698338</v>
      </c>
      <c r="P81" s="46">
        <f>(SUM($AA$18:$AA$29)-SUM($AA$36,$AA$42,$AA$48,$AA$54,$AA$60,$AA$66,$AA$72:$AA$79))*Parameters!$B$37/12</f>
        <v>2564.260214698338</v>
      </c>
      <c r="Q81" s="46">
        <f>(SUM($AA$18:$AA$29)-SUM($AA$36,$AA$42,$AA$48,$AA$54,$AA$60,$AA$66,$AA$72:$AA$79))*Parameters!$B$37/12</f>
        <v>2564.260214698338</v>
      </c>
      <c r="R81" s="46">
        <f>(SUM($AA$18:$AA$29)-SUM($AA$36,$AA$42,$AA$48,$AA$54,$AA$60,$AA$66,$AA$72:$AA$79))*Parameters!$B$37/12</f>
        <v>2564.260214698338</v>
      </c>
      <c r="S81" s="46">
        <f>(SUM($AA$18:$AA$29)-SUM($AA$36,$AA$42,$AA$48,$AA$54,$AA$60,$AA$66,$AA$72:$AA$79))*Parameters!$B$37/12</f>
        <v>2564.260214698338</v>
      </c>
      <c r="T81" s="46">
        <f>(SUM($AA$18:$AA$29)-SUM($AA$36,$AA$42,$AA$48,$AA$54,$AA$60,$AA$66,$AA$72:$AA$79))*Parameters!$B$37/12</f>
        <v>2564.260214698338</v>
      </c>
      <c r="U81" s="46">
        <f>(SUM($AA$18:$AA$29)-SUM($AA$36,$AA$42,$AA$48,$AA$54,$AA$60,$AA$66,$AA$72:$AA$79))*Parameters!$B$37/12</f>
        <v>2564.260214698338</v>
      </c>
      <c r="V81" s="46">
        <f>(SUM($AA$18:$AA$29)-SUM($AA$36,$AA$42,$AA$48,$AA$54,$AA$60,$AA$66,$AA$72:$AA$79))*Parameters!$B$37/12</f>
        <v>2564.260214698338</v>
      </c>
      <c r="W81" s="46">
        <f>(SUM($AA$18:$AA$29)-SUM($AA$36,$AA$42,$AA$48,$AA$54,$AA$60,$AA$66,$AA$72:$AA$79))*Parameters!$B$37/12</f>
        <v>2564.260214698338</v>
      </c>
      <c r="X81" s="46">
        <f>(SUM($AA$18:$AA$29)-SUM($AA$36,$AA$42,$AA$48,$AA$54,$AA$60,$AA$66,$AA$72:$AA$79))*Parameters!$B$37/12</f>
        <v>2564.260214698338</v>
      </c>
      <c r="Y81" s="46">
        <f>(SUM($AA$18:$AA$29)-SUM($AA$36,$AA$42,$AA$48,$AA$54,$AA$60,$AA$66,$AA$72:$AA$79))*Parameters!$B$37/12</f>
        <v>2564.260214698338</v>
      </c>
      <c r="Z81" s="46">
        <f>SUMIF($B$13:$Y$13,"Yes",B81:Y81)</f>
        <v>33335.38279107839</v>
      </c>
      <c r="AA81" s="46">
        <f>SUM(B81:M81)</f>
        <v>30771.12257638005</v>
      </c>
      <c r="AB81" s="46">
        <f>SUM(B81:Y81)</f>
        <v>61542.24515276014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81062.26021469834</v>
      </c>
      <c r="C88" s="19">
        <f>SUM(C72:C82,C66,C60,C54,C48,C42,C36)</f>
        <v>9062.260214698337</v>
      </c>
      <c r="D88" s="19">
        <f>SUM(D72:D82,D66,D60,D54,D48,D42,D36)</f>
        <v>21962.26021469834</v>
      </c>
      <c r="E88" s="19">
        <f>SUM(E72:E82,E66,E60,E54,E48,E42,E36)</f>
        <v>9062.260214698337</v>
      </c>
      <c r="F88" s="19">
        <f>SUM(F72:F82,F66,F60,F54,F48,F42,F36)</f>
        <v>9062.260214698337</v>
      </c>
      <c r="G88" s="19">
        <f>SUM(G72:G82,G66,G60,G54,G48,G42,G36)</f>
        <v>2564.260214698338</v>
      </c>
      <c r="H88" s="19">
        <f>SUM(H72:H82,H66,H60,H54,H48,H42,H36)</f>
        <v>81062.26021469834</v>
      </c>
      <c r="I88" s="19">
        <f>SUM(I72:I82,I66,I60,I54,I48,I42,I36)</f>
        <v>9062.260214698337</v>
      </c>
      <c r="J88" s="19">
        <f>SUM(J72:J82,J66,J60,J54,J48,J42,J36)</f>
        <v>21962.26021469834</v>
      </c>
      <c r="K88" s="19">
        <f>SUM(K72:K82,K66,K60,K54,K48,K42,K36)</f>
        <v>9062.260214698337</v>
      </c>
      <c r="L88" s="19">
        <f>SUM(L72:L82,L66,L60,L54,L48,L42,L36)</f>
        <v>9062.260214698337</v>
      </c>
      <c r="M88" s="19">
        <f>SUM(M72:M82,M66,M60,M54,M48,M42,M36)</f>
        <v>2564.260214698338</v>
      </c>
      <c r="N88" s="19">
        <f>SUM(N72:N82,N66,N60,N54,N48,N42,N36)</f>
        <v>81062.26021469834</v>
      </c>
      <c r="O88" s="19">
        <f>SUM(O72:O82,O66,O60,O54,O48,O42,O36)</f>
        <v>9062.260214698337</v>
      </c>
      <c r="P88" s="19">
        <f>SUM(P72:P82,P66,P60,P54,P48,P42,P36)</f>
        <v>21962.26021469834</v>
      </c>
      <c r="Q88" s="19">
        <f>SUM(Q72:Q82,Q66,Q60,Q54,Q48,Q42,Q36)</f>
        <v>9062.260214698337</v>
      </c>
      <c r="R88" s="19">
        <f>SUM(R72:R82,R66,R60,R54,R48,R42,R36)</f>
        <v>9062.260214698337</v>
      </c>
      <c r="S88" s="19">
        <f>SUM(S72:S82,S66,S60,S54,S48,S42,S36)</f>
        <v>2564.260214698338</v>
      </c>
      <c r="T88" s="19">
        <f>SUM(T72:T82,T66,T60,T54,T48,T42,T36)</f>
        <v>81062.26021469834</v>
      </c>
      <c r="U88" s="19">
        <f>SUM(U72:U82,U66,U60,U54,U48,U42,U36)</f>
        <v>9062.260214698337</v>
      </c>
      <c r="V88" s="19">
        <f>SUM(V72:V82,V66,V60,V54,V48,V42,V36)</f>
        <v>21962.26021469834</v>
      </c>
      <c r="W88" s="19">
        <f>SUM(W72:W82,W66,W60,W54,W48,W42,W36)</f>
        <v>9062.260214698337</v>
      </c>
      <c r="X88" s="19">
        <f>SUM(X72:X82,X66,X60,X54,X48,X42,X36)</f>
        <v>9062.260214698337</v>
      </c>
      <c r="Y88" s="19">
        <f>SUM(Y72:Y82,Y66,Y60,Y54,Y48,Y42,Y36)</f>
        <v>2564.260214698338</v>
      </c>
      <c r="Z88" s="19">
        <f>SUMIF($B$13:$Y$13,"Yes",B88:Y88)</f>
        <v>346613.3827910784</v>
      </c>
      <c r="AA88" s="19">
        <f>SUM(B88:M88)</f>
        <v>265551.12257638</v>
      </c>
      <c r="AB88" s="19">
        <f>SUM(B88:Y88)</f>
        <v>531102.2451527601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3750000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70000</v>
      </c>
    </row>
    <row r="101" spans="1:30" customHeight="1" ht="15.75">
      <c r="A101" s="1" t="s">
        <v>67</v>
      </c>
      <c r="B101" s="19">
        <f>SUM(B94:B100)</f>
        <v>4195000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93</v>
      </c>
    </row>
    <row r="45" spans="1:48">
      <c r="A45" s="56" t="s">
        <v>126</v>
      </c>
      <c r="B45" s="161"/>
    </row>
    <row r="46" spans="1:48" customHeight="1" ht="30">
      <c r="A46" s="57" t="s">
        <v>127</v>
      </c>
      <c r="B46" s="161">
        <v>250000</v>
      </c>
    </row>
    <row r="47" spans="1:48" customHeight="1" ht="30">
      <c r="A47" s="57" t="s">
        <v>128</v>
      </c>
      <c r="B47" s="161">
        <v>100000</v>
      </c>
    </row>
    <row r="48" spans="1:48" customHeight="1" ht="30">
      <c r="A48" s="57" t="s">
        <v>129</v>
      </c>
      <c r="B48" s="161">
        <v>70000</v>
      </c>
    </row>
    <row r="49" spans="1:48" customHeight="1" ht="30">
      <c r="A49" s="57" t="s">
        <v>130</v>
      </c>
      <c r="B49" s="161">
        <v>25000</v>
      </c>
    </row>
    <row r="50" spans="1:48">
      <c r="A50" s="43"/>
      <c r="B50" s="36"/>
    </row>
    <row r="51" spans="1:48">
      <c r="A51" s="58" t="s">
        <v>131</v>
      </c>
      <c r="B51" s="161">
        <v>5000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15000</v>
      </c>
      <c r="B56" s="159">
        <v>0</v>
      </c>
      <c r="C56" s="162" t="s">
        <v>139</v>
      </c>
      <c r="D56" s="163" t="s">
        <v>140</v>
      </c>
      <c r="E56" s="163" t="s">
        <v>92</v>
      </c>
      <c r="F56" s="163" t="s">
        <v>141</v>
      </c>
    </row>
    <row r="57" spans="1:48">
      <c r="A57" s="157">
        <v>222259</v>
      </c>
      <c r="B57" s="157">
        <v>0</v>
      </c>
      <c r="C57" s="164" t="s">
        <v>142</v>
      </c>
      <c r="D57" s="165" t="s">
        <v>140</v>
      </c>
      <c r="E57" s="165" t="s">
        <v>93</v>
      </c>
      <c r="F57" s="165" t="s">
        <v>143</v>
      </c>
    </row>
    <row r="58" spans="1:48">
      <c r="A58" s="157">
        <v>554644</v>
      </c>
      <c r="B58" s="157">
        <v>0</v>
      </c>
      <c r="C58" s="164" t="s">
        <v>144</v>
      </c>
      <c r="D58" s="165" t="s">
        <v>140</v>
      </c>
      <c r="E58" s="165" t="s">
        <v>92</v>
      </c>
      <c r="F58" s="165" t="s">
        <v>141</v>
      </c>
    </row>
    <row r="59" spans="1:48">
      <c r="A59" s="157">
        <v>512173</v>
      </c>
      <c r="B59" s="157">
        <v>0</v>
      </c>
      <c r="C59" s="164" t="s">
        <v>145</v>
      </c>
      <c r="D59" s="165" t="s">
        <v>140</v>
      </c>
      <c r="E59" s="165" t="s">
        <v>92</v>
      </c>
      <c r="F59" s="165" t="s">
        <v>141</v>
      </c>
    </row>
    <row r="60" spans="1:48">
      <c r="A60" s="158">
        <v>5000</v>
      </c>
      <c r="B60" s="158">
        <v>0</v>
      </c>
      <c r="C60" s="166" t="s">
        <v>146</v>
      </c>
      <c r="D60" s="167" t="s">
        <v>147</v>
      </c>
      <c r="E60" s="167" t="s">
        <v>92</v>
      </c>
      <c r="F60" s="167" t="s">
        <v>141</v>
      </c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149</v>
      </c>
      <c r="C65" s="10" t="s">
        <v>150</v>
      </c>
    </row>
    <row r="66" spans="1:48">
      <c r="A66" s="142" t="s">
        <v>94</v>
      </c>
      <c r="B66" s="159">
        <v>100000</v>
      </c>
      <c r="C66" s="163">
        <v>99500</v>
      </c>
      <c r="D66" s="49">
        <f>INDEX(Parameters!$D$79:$D$90,MATCH(Inputs!A66,Parameters!$C$79:$C$90,0))</f>
        <v>3</v>
      </c>
    </row>
    <row r="67" spans="1:48">
      <c r="A67" s="143" t="s">
        <v>151</v>
      </c>
      <c r="B67" s="157">
        <v>46000</v>
      </c>
      <c r="C67" s="165">
        <v>55000</v>
      </c>
      <c r="D67" s="49">
        <f>INDEX(Parameters!$D$79:$D$90,MATCH(Inputs!A67,Parameters!$C$79:$C$90,0))</f>
        <v>4</v>
      </c>
    </row>
    <row r="68" spans="1:48">
      <c r="A68" s="143" t="s">
        <v>152</v>
      </c>
      <c r="B68" s="157">
        <v>40000</v>
      </c>
      <c r="C68" s="165">
        <v>60000</v>
      </c>
      <c r="D68" s="49">
        <f>INDEX(Parameters!$D$79:$D$90,MATCH(Inputs!A68,Parameters!$C$79:$C$90,0))</f>
        <v>5</v>
      </c>
    </row>
    <row r="69" spans="1:48">
      <c r="A69" s="143" t="s">
        <v>153</v>
      </c>
      <c r="B69" s="157">
        <v>25000</v>
      </c>
      <c r="C69" s="165">
        <v>35000</v>
      </c>
      <c r="D69" s="49">
        <f>INDEX(Parameters!$D$79:$D$90,MATCH(Inputs!A69,Parameters!$C$79:$C$90,0))</f>
        <v>6</v>
      </c>
    </row>
    <row r="70" spans="1:48">
      <c r="A70" s="143" t="s">
        <v>154</v>
      </c>
      <c r="B70" s="157">
        <v>40000</v>
      </c>
      <c r="C70" s="165">
        <v>25000</v>
      </c>
      <c r="D70" s="49">
        <f>INDEX(Parameters!$D$79:$D$90,MATCH(Inputs!A70,Parameters!$C$79:$C$90,0))</f>
        <v>7</v>
      </c>
    </row>
    <row r="71" spans="1:48">
      <c r="A71" s="144" t="s">
        <v>155</v>
      </c>
      <c r="B71" s="158">
        <v>300000</v>
      </c>
      <c r="C71" s="167">
        <v>100000</v>
      </c>
      <c r="D71" s="49">
        <f>INDEX(Parameters!$D$79:$D$90,MATCH(Inputs!A71,Parameters!$C$79:$C$90,0))</f>
        <v>8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311707.8064409501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15000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222259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554644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512173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5000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43199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161</v>
      </c>
      <c r="G33" s="128">
        <f>IF(Inputs!B79="","",DATE(YEAR(Inputs!B79),MONTH(Inputs!B79),DAY(Inputs!B79)))</f>
        <v>43168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43229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162</v>
      </c>
      <c r="G34" s="128">
        <f>IF(Inputs!B80="","",DATE(YEAR(Inputs!B80),MONTH(Inputs!B80),DAY(Inputs!B80)))</f>
        <v>43199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43260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43352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229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43533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316</v>
      </c>
      <c r="H52" s="12" t="s">
        <v>317</v>
      </c>
      <c r="I52" s="12" t="s">
        <v>124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230</v>
      </c>
      <c r="E53" s="10" t="s">
        <v>189</v>
      </c>
      <c r="F53" s="10" t="s">
        <v>249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167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226</v>
      </c>
      <c r="J76" s="11" t="s">
        <v>350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317</v>
      </c>
      <c r="I77" s="12" t="s">
        <v>353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124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167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368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