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<sst xmlns="http://schemas.openxmlformats.org/spreadsheetml/2006/main" uniqueCount="364">
  <si>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</si>
  <si>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</si>
  <si>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</si>
  <si>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</si>
  <si>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</si>
  <si>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</si>
  <si>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</si>
  <si>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</si>
  <si>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</si>
  <si>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</si>
  <si>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</si>
  <si>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</si>
  <si>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</si>
  <si>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</si>
  <si>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</si>
  <si>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</si>
  <si>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</si>
  <si>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</si>
  <si>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</si>
  <si>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</si>
  <si>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</si>
  <si>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</si>
  <si>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</si>
  <si>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</si>
  <si>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</si>
  <si>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</si>
  <si>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</si>
  <si>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</si>
  <si>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</si>
  <si>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</si>
  <si>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</si>
  <si>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</si>
  <si>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</si>
  <si>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</si>
  <si>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</si>
  <si>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</si>
  <si>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</si>
  <si>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</si>
  <si>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</si>
  <si>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</si>
  <si>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</si>
  <si>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</si>
  <si>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</si>
  <si>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</si>
  <si>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</si>
  <si>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</si>
  <si>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</si>
  <si>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</si>
  <si>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</si>
  <si>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</si>
  <si>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</si>
  <si>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</si>
  <si>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</si>
  <si>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</si>
  <si>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</si>
  <si>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</si>
  <si>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</si>
  <si>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</si>
  <si>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</si>
  <si>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</si>
  <si>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</si>
  <si>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</si>
  <si>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</si>
  <si>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</si>
  <si>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</si>
  <si>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</si>
  <si>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</si>
  <si>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</si>
  <si>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</si>
  <si>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</si>
  <si>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</si>
  <si>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</si>
  <si>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</si>
  <si>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</si>
  <si>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</si>
  <si>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</si>
  <si>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</si>
  <si>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</si>
  <si>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</si>
  <si>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</si>
  <si>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</si>
  <si>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</si>
  <si>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</si>
  <si>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</si>
  <si>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</si>
  <si>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</si>
  <si>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</si>
  <si>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</si>
  <si>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</si>
  <si>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</si>
  <si>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</si>
  <si>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</si>
  <si>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</si>
  <si>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Yes using a diesel pump</t>
  </si>
  <si>
    <t>May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</si>
  <si>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</si>
  <si>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</si>
  <si>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</si>
  <si>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</si>
  <si>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</si>
  <si>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</si>
  <si>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</si>
  <si>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</si>
  <si>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</si>
  <si>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</si>
  <si>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</si>
  <si>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</si>
  <si>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</si>
  <si>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</si>
  <si>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</si>
  <si>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</si>
  <si>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</si>
  <si>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</si>
  <si>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</si>
  <si>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</si>
  <si>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</si>
  <si>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</si>
  <si>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</si>
  <si>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</si>
  <si>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</si>
  <si>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</si>
  <si>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</si>
  <si>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</si>
  <si>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</si>
  <si>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</si>
  <si>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</si>
  <si>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</si>
  <si>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</si>
  <si>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</si>
  <si>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</si>
  <si>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</si>
  <si>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</si>
  <si>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</si>
  <si>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</si>
  <si>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</si>
  <si>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</si>
  <si>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</si>
  <si>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</si>
  <si>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</si>
  <si>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</si>
  <si>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</si>
  <si>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</si>
  <si>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</si>
  <si>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</si>
  <si>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</si>
  <si>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</si>
  <si>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</si>
  <si>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</si>
  <si>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</si>
  <si>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</si>
  <si>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</si>
  <si>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2018/3/9</t>
  </si>
  <si>
    <t>Loan terms</t>
  </si>
  <si>
    <t>Expected disbursement date</t>
  </si>
  <si>
    <t>Expected first repayment date</t>
  </si>
  <si>
    <t>2018/4/19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</si>
  <si>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</si>
  <si>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</si>
  <si>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</si>
  <si>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</si>
  <si>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</si>
  <si>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</si>
  <si>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</si>
  <si>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</si>
  <si>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</si>
  <si>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</si>
  <si>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</si>
  <si>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</si>
  <si>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</si>
  <si>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</si>
  <si>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</si>
  <si>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</si>
  <si>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</si>
  <si>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</si>
  <si>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</si>
  <si>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</si>
  <si>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</si>
  <si>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</si>
  <si>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</si>
  <si>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</si>
  <si>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</si>
  <si>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</si>
  <si>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</si>
  <si>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</si>
  <si>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</si>
  <si>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</si>
  <si>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</si>
  <si>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</si>
  <si>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</si>
  <si>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</si>
  <si>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</si>
  <si>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</si>
  <si>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</si>
  <si>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</si>
  <si>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</si>
  <si>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</si>
  <si>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</si>
  <si>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</si>
  <si>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</si>
  <si>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</si>
  <si>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</si>
  <si>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</si>
  <si>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</si>
  <si>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</si>
  <si>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</si>
  <si>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</si>
  <si>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</si>
  <si>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</si>
  <si>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</si>
  <si>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</si>
  <si>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</si>
  <si>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</si>
  <si>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</si>
  <si>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</si>
  <si>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</si>
  <si>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</si>
  <si>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</si>
  <si>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</si>
  <si>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</si>
  <si>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</si>
  <si>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</si>
  <si>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</si>
  <si>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</si>
  <si>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</si>
  <si>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</si>
  <si>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</si>
  <si>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</si>
  <si>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</si>
  <si>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</si>
  <si>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</si>
  <si>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</si>
  <si>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</si>
  <si>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</si>
  <si>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</si>
  <si>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</si>
  <si>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</si>
  <si>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</si>
  <si>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</si>
  <si>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</si>
  <si>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</si>
  <si>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</si>
  <si>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</si>
  <si>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</si>
  <si>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</si>
  <si>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</si>
  <si>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</si>
  <si>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</si>
  <si>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</si>
  <si>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</si>
  <si>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</si>
  <si>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</si>
  <si>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</si>
  <si>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</si>
  <si>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</si>
  <si>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</si>
  <si>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</si>
  <si>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</si>
  <si>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</si>
  <si>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</si>
  <si>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</si>
  <si>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</si>
  <si>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</si>
  <si>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</si>
  <si>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</si>
  <si>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</si>
  <si>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</si>
  <si>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</si>
  <si>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</si>
  <si>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</si>
  <si>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</si>
  <si>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</si>
  <si>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</si>
  <si>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</si>
  <si>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</si>
  <si>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</si>
  <si>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</si>
  <si>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</si>
  <si>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</si>
  <si>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</si>
  <si>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</si>
  <si>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</si>
  <si>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</si>
  <si>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</si>
  <si>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</si>
  <si>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</si>
  <si>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</si>
  <si>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</si>
  <si>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</si>
  <si>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</si>
  <si>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</si>
  <si>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</si>
  <si>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</si>
  <si>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</si>
  <si>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</si>
  <si>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</si>
  <si>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</si>
  <si>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</si>
  <si>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</si>
  <si>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</si>
  <si>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</si>
  <si>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</si>
  <si>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</si>
  <si>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</si>
  <si>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</si>
  <si>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</si>
  <si>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</si>
  <si>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</si>
  <si>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</si>
  <si>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</si>
  <si>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</si>
  <si>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</si>
  <si>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</si>
  <si>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</si>
  <si>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</si>
  <si>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</si>
  <si>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</si>
  <si>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</si>
  <si>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</si>
  <si>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</si>
  <si>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</si>
  <si>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</si>
  <si>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</si>
  <si>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</si>
  <si>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</si>
  <si>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</si>
  <si>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</si>
  <si>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</si>
  <si>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</si>
  <si>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</si>
  <si>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</si>
  <si>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</si>
  <si>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</si>
  <si>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</si>
  <si>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</si>
  <si>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</si>
  <si>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</si>
  <si>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</si>
  <si>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</si>
  <si>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</si>
  <si>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</si>
  <si>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</si>
  <si>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</si>
  <si>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</si>
  <si>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</si>
  <si>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</si>
  <si>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</si>
  <si>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</si>
  <si>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</si>
  <si>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</si>
  <si>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</si>
  <si>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</si>
  <si>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</si>
  <si>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</si>
  <si>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</si>
  <si>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</si>
  <si>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</si>
  <si>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</si>
  <si>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</si>
  <si>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March</t>
  </si>
  <si>
    <t>NGO</t>
  </si>
  <si>
    <t>April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</si>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</sst>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0.8578690955306081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2019</v>
      </c>
    </row>
    <row r="13" spans="1:7">
      <c r="B13" s="1" t="s">
        <v>8</v>
      </c>
      <c r="C13" s="67">
        <f>IFERROR(Output!B107/Output!B101,"")</f>
        <v>0.03652173913043479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22500</v>
      </c>
    </row>
    <row r="17" spans="1:7">
      <c r="B17" s="1" t="s">
        <v>11</v>
      </c>
      <c r="C17" s="36">
        <f>SUM(Output!B6:M6)</f>
        <v>105600</v>
      </c>
    </row>
    <row r="18" spans="1:7">
      <c r="B18" s="1" t="s">
        <v>12</v>
      </c>
      <c r="C18" s="36">
        <f>MIN(Output!B6:M6)</f>
        <v>5133.333333333332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2018</v>
      </c>
    </row>
    <row r="20" spans="1:7">
      <c r="B20" s="1" t="s">
        <v>14</v>
      </c>
      <c r="C20" s="36">
        <f>MAX(Output!B6:M6)</f>
        <v>9133.333333333332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9133.333333333332</v>
      </c>
      <c r="C6" s="51">
        <f>C30-C88</f>
        <v>9133.333333333332</v>
      </c>
      <c r="D6" s="51">
        <f>D30-D88</f>
        <v>5133.333333333332</v>
      </c>
      <c r="E6" s="51">
        <f>E30-E88</f>
        <v>9133.333333333332</v>
      </c>
      <c r="F6" s="51">
        <f>F30-F88</f>
        <v>9133.333333333332</v>
      </c>
      <c r="G6" s="51">
        <f>G30-G88</f>
        <v>9133.333333333332</v>
      </c>
      <c r="H6" s="51">
        <f>H30-H88</f>
        <v>9133.333333333332</v>
      </c>
      <c r="I6" s="51">
        <f>I30-I88</f>
        <v>9133.333333333332</v>
      </c>
      <c r="J6" s="51">
        <f>J30-J88</f>
        <v>9133.333333333332</v>
      </c>
      <c r="K6" s="51">
        <f>K30-K88</f>
        <v>9133.333333333332</v>
      </c>
      <c r="L6" s="51">
        <f>L30-L88</f>
        <v>9133.333333333332</v>
      </c>
      <c r="M6" s="51">
        <f>M30-M88</f>
        <v>9133.333333333332</v>
      </c>
      <c r="N6" s="51">
        <f>N30-N88</f>
        <v>9133.333333333332</v>
      </c>
      <c r="O6" s="51">
        <f>O30-O88</f>
        <v>9133.333333333332</v>
      </c>
      <c r="P6" s="51">
        <f>P30-P88</f>
        <v>5133.333333333332</v>
      </c>
      <c r="Q6" s="51">
        <f>Q30-Q88</f>
        <v>9133.333333333332</v>
      </c>
      <c r="R6" s="51">
        <f>R30-R88</f>
        <v>9133.333333333332</v>
      </c>
      <c r="S6" s="51">
        <f>S30-S88</f>
        <v>9133.333333333332</v>
      </c>
      <c r="T6" s="51">
        <f>T30-T88</f>
        <v>9133.333333333332</v>
      </c>
      <c r="U6" s="51">
        <f>U30-U88</f>
        <v>9133.333333333332</v>
      </c>
      <c r="V6" s="51">
        <f>V30-V88</f>
        <v>9133.333333333332</v>
      </c>
      <c r="W6" s="51">
        <f>W30-W88</f>
        <v>9133.333333333332</v>
      </c>
      <c r="X6" s="51">
        <f>X30-X88</f>
        <v>9133.333333333332</v>
      </c>
      <c r="Y6" s="51">
        <f>Y30-Y88</f>
        <v>9133.333333333332</v>
      </c>
      <c r="Z6" s="51">
        <f>SUMIF($B$13:$Y$13,"Yes",B6:Y6)</f>
        <v>114733.3333333333</v>
      </c>
      <c r="AA6" s="51">
        <f>AA30-AA88</f>
        <v>105600</v>
      </c>
      <c r="AB6" s="51">
        <f>AB30-AB88</f>
        <v>211200.0000000001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20446</v>
      </c>
      <c r="I7" s="80">
        <f>IF(ISERROR(VLOOKUP(MONTH(I5),Inputs!$D$66:$D$71,1,0)),"",INDEX(Inputs!$B$66:$B$71,MATCH(MONTH(Output!I5),Inputs!$D$66:$D$71,0))-INDEX(Inputs!$C$66:$C$71,MATCH(MONTH(Output!I5),Inputs!$D$66:$D$71,0)))</f>
        <v>18301</v>
      </c>
      <c r="J7" s="80">
        <f>IF(ISERROR(VLOOKUP(MONTH(J5),Inputs!$D$66:$D$71,1,0)),"",INDEX(Inputs!$B$66:$B$71,MATCH(MONTH(Output!J5),Inputs!$D$66:$D$71,0))-INDEX(Inputs!$C$66:$C$71,MATCH(MONTH(Output!J5),Inputs!$D$66:$D$71,0)))</f>
        <v>8639</v>
      </c>
      <c r="K7" s="80">
        <f>IF(ISERROR(VLOOKUP(MONTH(K5),Inputs!$D$66:$D$71,1,0)),"",INDEX(Inputs!$B$66:$B$71,MATCH(MONTH(Output!K5),Inputs!$D$66:$D$71,0))-INDEX(Inputs!$C$66:$C$71,MATCH(MONTH(Output!K5),Inputs!$D$66:$D$71,0)))</f>
        <v>19310</v>
      </c>
      <c r="L7" s="80">
        <f>IF(ISERROR(VLOOKUP(MONTH(L5),Inputs!$D$66:$D$71,1,0)),"",INDEX(Inputs!$B$66:$B$71,MATCH(MONTH(Output!L5),Inputs!$D$66:$D$71,0))-INDEX(Inputs!$C$66:$C$71,MATCH(MONTH(Output!L5),Inputs!$D$66:$D$71,0)))</f>
        <v>4374</v>
      </c>
      <c r="M7" s="80">
        <f>IF(ISERROR(VLOOKUP(MONTH(M5),Inputs!$D$66:$D$71,1,0)),"",INDEX(Inputs!$B$66:$B$71,MATCH(MONTH(Output!M5),Inputs!$D$66:$D$71,0))-INDEX(Inputs!$C$66:$C$71,MATCH(MONTH(Output!M5),Inputs!$D$66:$D$71,0)))</f>
        <v>17426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20446</v>
      </c>
      <c r="U7" s="80">
        <f>IF(ISERROR(VLOOKUP(MONTH(U5),Inputs!$D$66:$D$71,1,0)),"",INDEX(Inputs!$B$66:$B$71,MATCH(MONTH(Output!U5),Inputs!$D$66:$D$71,0))-INDEX(Inputs!$C$66:$C$71,MATCH(MONTH(Output!U5),Inputs!$D$66:$D$71,0)))</f>
        <v>18301</v>
      </c>
      <c r="V7" s="80">
        <f>IF(ISERROR(VLOOKUP(MONTH(V5),Inputs!$D$66:$D$71,1,0)),"",INDEX(Inputs!$B$66:$B$71,MATCH(MONTH(Output!V5),Inputs!$D$66:$D$71,0))-INDEX(Inputs!$C$66:$C$71,MATCH(MONTH(Output!V5),Inputs!$D$66:$D$71,0)))</f>
        <v>8639</v>
      </c>
      <c r="W7" s="80">
        <f>IF(ISERROR(VLOOKUP(MONTH(W5),Inputs!$D$66:$D$71,1,0)),"",INDEX(Inputs!$B$66:$B$71,MATCH(MONTH(Output!W5),Inputs!$D$66:$D$71,0))-INDEX(Inputs!$C$66:$C$71,MATCH(MONTH(Output!W5),Inputs!$D$66:$D$71,0)))</f>
        <v>19310</v>
      </c>
      <c r="X7" s="80">
        <f>IF(ISERROR(VLOOKUP(MONTH(X5),Inputs!$D$66:$D$71,1,0)),"",INDEX(Inputs!$B$66:$B$71,MATCH(MONTH(Output!X5),Inputs!$D$66:$D$71,0))-INDEX(Inputs!$C$66:$C$71,MATCH(MONTH(Output!X5),Inputs!$D$66:$D$71,0)))</f>
        <v>4374</v>
      </c>
      <c r="Y7" s="80">
        <f>IF(ISERROR(VLOOKUP(MONTH(Y5),Inputs!$D$66:$D$71,1,0)),"",INDEX(Inputs!$B$66:$B$71,MATCH(MONTH(Output!Y5),Inputs!$D$66:$D$71,0))-INDEX(Inputs!$C$66:$C$71,MATCH(MONTH(Output!Y5),Inputs!$D$66:$D$71,0)))</f>
        <v>17426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22500</v>
      </c>
      <c r="D10" s="37">
        <f>SUMPRODUCT((Calculations!$D$33:$D$84=Output!D5)+0,Calculations!$C$33:$C$84)</f>
        <v>22500</v>
      </c>
      <c r="E10" s="37">
        <f>SUMPRODUCT((Calculations!$D$33:$D$84=Output!E5)+0,Calculations!$C$33:$C$84)</f>
        <v>22500</v>
      </c>
      <c r="F10" s="37">
        <f>SUMPRODUCT((Calculations!$D$33:$D$84=Output!F5)+0,Calculations!$C$33:$C$84)</f>
        <v>22500</v>
      </c>
      <c r="G10" s="37">
        <f>SUMPRODUCT((Calculations!$D$33:$D$84=Output!G5)+0,Calculations!$C$33:$C$84)</f>
        <v>22500</v>
      </c>
      <c r="H10" s="37">
        <f>SUMPRODUCT((Calculations!$D$33:$D$84=Output!H5)+0,Calculations!$C$33:$C$84)</f>
        <v>22500</v>
      </c>
      <c r="I10" s="37">
        <f>SUMPRODUCT((Calculations!$D$33:$D$84=Output!I5)+0,Calculations!$C$33:$C$84)</f>
        <v>22500</v>
      </c>
      <c r="J10" s="37">
        <f>SUMPRODUCT((Calculations!$D$33:$D$84=Output!J5)+0,Calculations!$C$33:$C$84)</f>
        <v>22500</v>
      </c>
      <c r="K10" s="37">
        <f>SUMPRODUCT((Calculations!$D$33:$D$84=Output!K5)+0,Calculations!$C$33:$C$84)</f>
        <v>22500</v>
      </c>
      <c r="L10" s="37">
        <f>SUMPRODUCT((Calculations!$D$33:$D$84=Output!L5)+0,Calculations!$C$33:$C$84)</f>
        <v>22500</v>
      </c>
      <c r="M10" s="37">
        <f>SUMPRODUCT((Calculations!$D$33:$D$84=Output!M5)+0,Calculations!$C$33:$C$84)</f>
        <v>22500</v>
      </c>
      <c r="N10" s="37">
        <f>SUMPRODUCT((Calculations!$D$33:$D$84=Output!N5)+0,Calculations!$C$33:$C$84)</f>
        <v>22500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270000</v>
      </c>
      <c r="AA10" s="37">
        <f>SUM(B10:M10)</f>
        <v>247500</v>
      </c>
      <c r="AB10" s="37">
        <f>SUM(B10:Y10)</f>
        <v>270000</v>
      </c>
    </row>
    <row r="11" spans="1:30" customHeight="1" ht="15.75">
      <c r="A11" s="43" t="s">
        <v>31</v>
      </c>
      <c r="B11" s="80">
        <f>B6+B9-B10</f>
        <v>209133.3333333333</v>
      </c>
      <c r="C11" s="80">
        <f>C6+C9-C10</f>
        <v>-13366.66666666667</v>
      </c>
      <c r="D11" s="80">
        <f>D6+D9-D10</f>
        <v>-17366.66666666667</v>
      </c>
      <c r="E11" s="80">
        <f>E6+E9-E10</f>
        <v>-13366.66666666667</v>
      </c>
      <c r="F11" s="80">
        <f>F6+F9-F10</f>
        <v>-13366.66666666667</v>
      </c>
      <c r="G11" s="80">
        <f>G6+G9-G10</f>
        <v>-13366.66666666667</v>
      </c>
      <c r="H11" s="80">
        <f>H6+H9-H10</f>
        <v>-13366.66666666667</v>
      </c>
      <c r="I11" s="80">
        <f>I6+I9-I10</f>
        <v>-13366.66666666667</v>
      </c>
      <c r="J11" s="80">
        <f>J6+J9-J10</f>
        <v>-13366.66666666667</v>
      </c>
      <c r="K11" s="80">
        <f>K6+K9-K10</f>
        <v>-13366.66666666667</v>
      </c>
      <c r="L11" s="80">
        <f>L6+L9-L10</f>
        <v>-13366.66666666667</v>
      </c>
      <c r="M11" s="80">
        <f>M6+M9-M10</f>
        <v>-13366.66666666667</v>
      </c>
      <c r="N11" s="80">
        <f>N6+N9-N10</f>
        <v>-13366.66666666667</v>
      </c>
      <c r="O11" s="80">
        <f>O6+O9-O10</f>
        <v>9133.333333333332</v>
      </c>
      <c r="P11" s="80">
        <f>P6+P9-P10</f>
        <v>5133.333333333332</v>
      </c>
      <c r="Q11" s="80">
        <f>Q6+Q9-Q10</f>
        <v>9133.333333333332</v>
      </c>
      <c r="R11" s="80">
        <f>R6+R9-R10</f>
        <v>9133.333333333332</v>
      </c>
      <c r="S11" s="80">
        <f>S6+S9-S10</f>
        <v>9133.333333333332</v>
      </c>
      <c r="T11" s="80">
        <f>T6+T9-T10</f>
        <v>9133.333333333332</v>
      </c>
      <c r="U11" s="80">
        <f>U6+U9-U10</f>
        <v>9133.333333333332</v>
      </c>
      <c r="V11" s="80">
        <f>V6+V9-V10</f>
        <v>9133.333333333332</v>
      </c>
      <c r="W11" s="80">
        <f>W6+W9-W10</f>
        <v>9133.333333333332</v>
      </c>
      <c r="X11" s="80">
        <f>X6+X9-X10</f>
        <v>9133.333333333332</v>
      </c>
      <c r="Y11" s="80">
        <f>Y6+Y9-Y10</f>
        <v>9133.333333333332</v>
      </c>
      <c r="Z11" s="85">
        <f>SUMIF($B$13:$Y$13,"Yes",B11:Y11)</f>
        <v>44733.33333333336</v>
      </c>
      <c r="AA11" s="80">
        <f>SUM(B11:M11)</f>
        <v>58100.00000000003</v>
      </c>
      <c r="AB11" s="46">
        <f>SUM(B11:Y11)</f>
        <v>141200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0.1030849114233354</v>
      </c>
      <c r="D12" s="82">
        <f>IF(D13="Yes",IF(SUM($B$10:D10)/(SUM($B$6:D6)+SUM($B$9:D9))&lt;0,999.99,SUM($B$10:D10)/(SUM($B$6:D6)+SUM($B$9:D9))),"")</f>
        <v>0.2014324082363474</v>
      </c>
      <c r="E12" s="82">
        <f>IF(E13="Yes",IF(SUM($B$10:E10)/(SUM($B$6:E6)+SUM($B$9:E9))&lt;0,999.99,SUM($B$10:E10)/(SUM($B$6:E6)+SUM($B$9:E9))),"")</f>
        <v>0.2902809633027523</v>
      </c>
      <c r="F12" s="82">
        <f>IF(F13="Yes",IF(SUM($B$10:F10)/(SUM($B$6:F6)+SUM($B$9:F9))&lt;0,999.99,SUM($B$10:F10)/(SUM($B$6:F6)+SUM($B$9:F9))),"")</f>
        <v>0.3724137931034483</v>
      </c>
      <c r="G12" s="82">
        <f>IF(G13="Yes",IF(SUM($B$10:G10)/(SUM($B$6:G6)+SUM($B$9:G9))&lt;0,999.99,SUM($B$10:G10)/(SUM($B$6:G6)+SUM($B$9:G9))),"")</f>
        <v>0.4485645933014354</v>
      </c>
      <c r="H12" s="82">
        <f>IF(H13="Yes",IF(SUM($B$10:H10)/(SUM($B$6:H6)+SUM($B$9:H9))&lt;0,999.99,SUM($B$10:H10)/(SUM($B$6:H6)+SUM($B$9:H9))),"")</f>
        <v>0.5193639394716595</v>
      </c>
      <c r="I12" s="82">
        <f>IF(I13="Yes",IF(SUM($B$10:I10)/(SUM($B$6:I6)+SUM($B$9:I9))&lt;0,999.99,SUM($B$10:I10)/(SUM($B$6:I6)+SUM($B$9:I9))),"")</f>
        <v>0.5853567888999009</v>
      </c>
      <c r="J12" s="82">
        <f>IF(J13="Yes",IF(SUM($B$10:J10)/(SUM($B$6:J6)+SUM($B$9:J9))&lt;0,999.99,SUM($B$10:J10)/(SUM($B$6:J6)+SUM($B$9:J9))),"")</f>
        <v>0.6470165348670022</v>
      </c>
      <c r="K12" s="82">
        <f>IF(K13="Yes",IF(SUM($B$10:K10)/(SUM($B$6:K6)+SUM($B$9:K9))&lt;0,999.99,SUM($B$10:K10)/(SUM($B$6:K6)+SUM($B$9:K9))),"")</f>
        <v>0.7047563805104409</v>
      </c>
      <c r="L12" s="82">
        <f>IF(L13="Yes",IF(SUM($B$10:L10)/(SUM($B$6:L6)+SUM($B$9:L9))&lt;0,999.99,SUM($B$10:L10)/(SUM($B$6:L6)+SUM($B$9:L9))),"")</f>
        <v>0.7589386102990782</v>
      </c>
      <c r="M12" s="82">
        <f>IF(M13="Yes",IF(SUM($B$10:M10)/(SUM($B$6:M6)+SUM($B$9:M9))&lt;0,999.99,SUM($B$10:M10)/(SUM($B$6:M6)+SUM($B$9:M9))),"")</f>
        <v>0.8098821989528797</v>
      </c>
      <c r="N12" s="82">
        <f>IF(N13="Yes",IF(SUM($B$10:N10)/(SUM($B$6:N6)+SUM($B$9:N9))&lt;0,999.99,SUM($B$10:N10)/(SUM($B$6:N6)+SUM($B$9:N9))),"")</f>
        <v>0.8578690955306081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260000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20000</v>
      </c>
      <c r="C30" s="19">
        <f>SUM(C18:C29)</f>
        <v>20000</v>
      </c>
      <c r="D30" s="19">
        <f>SUM(D18:D29)</f>
        <v>20000</v>
      </c>
      <c r="E30" s="19">
        <f>SUM(E18:E29)</f>
        <v>20000</v>
      </c>
      <c r="F30" s="19">
        <f>SUM(F18:F29)</f>
        <v>20000</v>
      </c>
      <c r="G30" s="19">
        <f>SUM(G18:G29)</f>
        <v>20000</v>
      </c>
      <c r="H30" s="19">
        <f>SUM(H18:H29)</f>
        <v>20000</v>
      </c>
      <c r="I30" s="19">
        <f>SUM(I18:I29)</f>
        <v>20000</v>
      </c>
      <c r="J30" s="19">
        <f>SUM(J18:J29)</f>
        <v>20000</v>
      </c>
      <c r="K30" s="19">
        <f>SUM(K18:K29)</f>
        <v>20000</v>
      </c>
      <c r="L30" s="19">
        <f>SUM(L18:L29)</f>
        <v>20000</v>
      </c>
      <c r="M30" s="19">
        <f>SUM(M18:M29)</f>
        <v>20000</v>
      </c>
      <c r="N30" s="19">
        <f>SUM(N18:N29)</f>
        <v>20000</v>
      </c>
      <c r="O30" s="19">
        <f>SUM(O18:O29)</f>
        <v>20000</v>
      </c>
      <c r="P30" s="19">
        <f>SUM(P18:P29)</f>
        <v>20000</v>
      </c>
      <c r="Q30" s="19">
        <f>SUM(Q18:Q29)</f>
        <v>20000</v>
      </c>
      <c r="R30" s="19">
        <f>SUM(R18:R29)</f>
        <v>20000</v>
      </c>
      <c r="S30" s="19">
        <f>SUM(S18:S29)</f>
        <v>20000</v>
      </c>
      <c r="T30" s="19">
        <f>SUM(T18:T29)</f>
        <v>20000</v>
      </c>
      <c r="U30" s="19">
        <f>SUM(U18:U29)</f>
        <v>20000</v>
      </c>
      <c r="V30" s="19">
        <f>SUM(V18:V29)</f>
        <v>20000</v>
      </c>
      <c r="W30" s="19">
        <f>SUM(W18:W29)</f>
        <v>20000</v>
      </c>
      <c r="X30" s="19">
        <f>SUM(X18:X29)</f>
        <v>20000</v>
      </c>
      <c r="Y30" s="19">
        <f>SUM(Y18:Y29)</f>
        <v>20000</v>
      </c>
      <c r="Z30" s="19">
        <f>SUMIF($B$13:$Y$13,"Yes",B30:Y30)</f>
        <v>260000</v>
      </c>
      <c r="AA30" s="19">
        <f>SUM(B30:M30)</f>
        <v>240000</v>
      </c>
      <c r="AB30" s="19">
        <f>SUM(B30:Y30)</f>
        <v>480000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4000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4000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4000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4000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5866.666666666667</v>
      </c>
      <c r="C81" s="46">
        <f>(SUM($AA$18:$AA$29)-SUM($AA$36,$AA$42,$AA$48,$AA$54,$AA$60,$AA$66,$AA$72:$AA$79))*Parameters!$B$37/12</f>
        <v>5866.666666666667</v>
      </c>
      <c r="D81" s="46">
        <f>(SUM($AA$18:$AA$29)-SUM($AA$36,$AA$42,$AA$48,$AA$54,$AA$60,$AA$66,$AA$72:$AA$79))*Parameters!$B$37/12</f>
        <v>5866.666666666667</v>
      </c>
      <c r="E81" s="46">
        <f>(SUM($AA$18:$AA$29)-SUM($AA$36,$AA$42,$AA$48,$AA$54,$AA$60,$AA$66,$AA$72:$AA$79))*Parameters!$B$37/12</f>
        <v>5866.666666666667</v>
      </c>
      <c r="F81" s="46">
        <f>(SUM($AA$18:$AA$29)-SUM($AA$36,$AA$42,$AA$48,$AA$54,$AA$60,$AA$66,$AA$72:$AA$79))*Parameters!$B$37/12</f>
        <v>5866.666666666667</v>
      </c>
      <c r="G81" s="46">
        <f>(SUM($AA$18:$AA$29)-SUM($AA$36,$AA$42,$AA$48,$AA$54,$AA$60,$AA$66,$AA$72:$AA$79))*Parameters!$B$37/12</f>
        <v>5866.666666666667</v>
      </c>
      <c r="H81" s="46">
        <f>(SUM($AA$18:$AA$29)-SUM($AA$36,$AA$42,$AA$48,$AA$54,$AA$60,$AA$66,$AA$72:$AA$79))*Parameters!$B$37/12</f>
        <v>5866.666666666667</v>
      </c>
      <c r="I81" s="46">
        <f>(SUM($AA$18:$AA$29)-SUM($AA$36,$AA$42,$AA$48,$AA$54,$AA$60,$AA$66,$AA$72:$AA$79))*Parameters!$B$37/12</f>
        <v>5866.666666666667</v>
      </c>
      <c r="J81" s="46">
        <f>(SUM($AA$18:$AA$29)-SUM($AA$36,$AA$42,$AA$48,$AA$54,$AA$60,$AA$66,$AA$72:$AA$79))*Parameters!$B$37/12</f>
        <v>5866.666666666667</v>
      </c>
      <c r="K81" s="46">
        <f>(SUM($AA$18:$AA$29)-SUM($AA$36,$AA$42,$AA$48,$AA$54,$AA$60,$AA$66,$AA$72:$AA$79))*Parameters!$B$37/12</f>
        <v>5866.666666666667</v>
      </c>
      <c r="L81" s="46">
        <f>(SUM($AA$18:$AA$29)-SUM($AA$36,$AA$42,$AA$48,$AA$54,$AA$60,$AA$66,$AA$72:$AA$79))*Parameters!$B$37/12</f>
        <v>5866.666666666667</v>
      </c>
      <c r="M81" s="46">
        <f>(SUM($AA$18:$AA$29)-SUM($AA$36,$AA$42,$AA$48,$AA$54,$AA$60,$AA$66,$AA$72:$AA$79))*Parameters!$B$37/12</f>
        <v>5866.666666666667</v>
      </c>
      <c r="N81" s="46">
        <f>(SUM($AA$18:$AA$29)-SUM($AA$36,$AA$42,$AA$48,$AA$54,$AA$60,$AA$66,$AA$72:$AA$79))*Parameters!$B$37/12</f>
        <v>5866.666666666667</v>
      </c>
      <c r="O81" s="46">
        <f>(SUM($AA$18:$AA$29)-SUM($AA$36,$AA$42,$AA$48,$AA$54,$AA$60,$AA$66,$AA$72:$AA$79))*Parameters!$B$37/12</f>
        <v>5866.666666666667</v>
      </c>
      <c r="P81" s="46">
        <f>(SUM($AA$18:$AA$29)-SUM($AA$36,$AA$42,$AA$48,$AA$54,$AA$60,$AA$66,$AA$72:$AA$79))*Parameters!$B$37/12</f>
        <v>5866.666666666667</v>
      </c>
      <c r="Q81" s="46">
        <f>(SUM($AA$18:$AA$29)-SUM($AA$36,$AA$42,$AA$48,$AA$54,$AA$60,$AA$66,$AA$72:$AA$79))*Parameters!$B$37/12</f>
        <v>5866.666666666667</v>
      </c>
      <c r="R81" s="46">
        <f>(SUM($AA$18:$AA$29)-SUM($AA$36,$AA$42,$AA$48,$AA$54,$AA$60,$AA$66,$AA$72:$AA$79))*Parameters!$B$37/12</f>
        <v>5866.666666666667</v>
      </c>
      <c r="S81" s="46">
        <f>(SUM($AA$18:$AA$29)-SUM($AA$36,$AA$42,$AA$48,$AA$54,$AA$60,$AA$66,$AA$72:$AA$79))*Parameters!$B$37/12</f>
        <v>5866.666666666667</v>
      </c>
      <c r="T81" s="46">
        <f>(SUM($AA$18:$AA$29)-SUM($AA$36,$AA$42,$AA$48,$AA$54,$AA$60,$AA$66,$AA$72:$AA$79))*Parameters!$B$37/12</f>
        <v>5866.666666666667</v>
      </c>
      <c r="U81" s="46">
        <f>(SUM($AA$18:$AA$29)-SUM($AA$36,$AA$42,$AA$48,$AA$54,$AA$60,$AA$66,$AA$72:$AA$79))*Parameters!$B$37/12</f>
        <v>5866.666666666667</v>
      </c>
      <c r="V81" s="46">
        <f>(SUM($AA$18:$AA$29)-SUM($AA$36,$AA$42,$AA$48,$AA$54,$AA$60,$AA$66,$AA$72:$AA$79))*Parameters!$B$37/12</f>
        <v>5866.666666666667</v>
      </c>
      <c r="W81" s="46">
        <f>(SUM($AA$18:$AA$29)-SUM($AA$36,$AA$42,$AA$48,$AA$54,$AA$60,$AA$66,$AA$72:$AA$79))*Parameters!$B$37/12</f>
        <v>5866.666666666667</v>
      </c>
      <c r="X81" s="46">
        <f>(SUM($AA$18:$AA$29)-SUM($AA$36,$AA$42,$AA$48,$AA$54,$AA$60,$AA$66,$AA$72:$AA$79))*Parameters!$B$37/12</f>
        <v>5866.666666666667</v>
      </c>
      <c r="Y81" s="46">
        <f>(SUM($AA$18:$AA$29)-SUM($AA$36,$AA$42,$AA$48,$AA$54,$AA$60,$AA$66,$AA$72:$AA$79))*Parameters!$B$37/12</f>
        <v>5866.666666666667</v>
      </c>
      <c r="Z81" s="46">
        <f>SUMIF($B$13:$Y$13,"Yes",B81:Y81)</f>
        <v>76266.66666666666</v>
      </c>
      <c r="AA81" s="46">
        <f>SUM(B81:M81)</f>
        <v>70399.99999999999</v>
      </c>
      <c r="AB81" s="46">
        <f>SUM(B81:Y81)</f>
        <v>140800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10866.66666666667</v>
      </c>
      <c r="C88" s="19">
        <f>SUM(C72:C82,C66,C60,C54,C48,C42,C36)</f>
        <v>10866.66666666667</v>
      </c>
      <c r="D88" s="19">
        <f>SUM(D72:D82,D66,D60,D54,D48,D42,D36)</f>
        <v>14866.66666666667</v>
      </c>
      <c r="E88" s="19">
        <f>SUM(E72:E82,E66,E60,E54,E48,E42,E36)</f>
        <v>10866.66666666667</v>
      </c>
      <c r="F88" s="19">
        <f>SUM(F72:F82,F66,F60,F54,F48,F42,F36)</f>
        <v>10866.66666666667</v>
      </c>
      <c r="G88" s="19">
        <f>SUM(G72:G82,G66,G60,G54,G48,G42,G36)</f>
        <v>10866.66666666667</v>
      </c>
      <c r="H88" s="19">
        <f>SUM(H72:H82,H66,H60,H54,H48,H42,H36)</f>
        <v>10866.66666666667</v>
      </c>
      <c r="I88" s="19">
        <f>SUM(I72:I82,I66,I60,I54,I48,I42,I36)</f>
        <v>10866.66666666667</v>
      </c>
      <c r="J88" s="19">
        <f>SUM(J72:J82,J66,J60,J54,J48,J42,J36)</f>
        <v>10866.66666666667</v>
      </c>
      <c r="K88" s="19">
        <f>SUM(K72:K82,K66,K60,K54,K48,K42,K36)</f>
        <v>10866.66666666667</v>
      </c>
      <c r="L88" s="19">
        <f>SUM(L72:L82,L66,L60,L54,L48,L42,L36)</f>
        <v>10866.66666666667</v>
      </c>
      <c r="M88" s="19">
        <f>SUM(M72:M82,M66,M60,M54,M48,M42,M36)</f>
        <v>10866.66666666667</v>
      </c>
      <c r="N88" s="19">
        <f>SUM(N72:N82,N66,N60,N54,N48,N42,N36)</f>
        <v>10866.66666666667</v>
      </c>
      <c r="O88" s="19">
        <f>SUM(O72:O82,O66,O60,O54,O48,O42,O36)</f>
        <v>10866.66666666667</v>
      </c>
      <c r="P88" s="19">
        <f>SUM(P72:P82,P66,P60,P54,P48,P42,P36)</f>
        <v>14866.66666666667</v>
      </c>
      <c r="Q88" s="19">
        <f>SUM(Q72:Q82,Q66,Q60,Q54,Q48,Q42,Q36)</f>
        <v>10866.66666666667</v>
      </c>
      <c r="R88" s="19">
        <f>SUM(R72:R82,R66,R60,R54,R48,R42,R36)</f>
        <v>10866.66666666667</v>
      </c>
      <c r="S88" s="19">
        <f>SUM(S72:S82,S66,S60,S54,S48,S42,S36)</f>
        <v>10866.66666666667</v>
      </c>
      <c r="T88" s="19">
        <f>SUM(T72:T82,T66,T60,T54,T48,T42,T36)</f>
        <v>10866.66666666667</v>
      </c>
      <c r="U88" s="19">
        <f>SUM(U72:U82,U66,U60,U54,U48,U42,U36)</f>
        <v>10866.66666666667</v>
      </c>
      <c r="V88" s="19">
        <f>SUM(V72:V82,V66,V60,V54,V48,V42,V36)</f>
        <v>10866.66666666667</v>
      </c>
      <c r="W88" s="19">
        <f>SUM(W72:W82,W66,W60,W54,W48,W42,W36)</f>
        <v>10866.66666666667</v>
      </c>
      <c r="X88" s="19">
        <f>SUM(X72:X82,X66,X60,X54,X48,X42,X36)</f>
        <v>10866.66666666667</v>
      </c>
      <c r="Y88" s="19">
        <f>SUM(Y72:Y82,Y66,Y60,Y54,Y48,Y42,Y36)</f>
        <v>10866.66666666667</v>
      </c>
      <c r="Z88" s="19">
        <f>SUMIF($B$13:$Y$13,"Yes",B88:Y88)</f>
        <v>145266.6666666667</v>
      </c>
      <c r="AA88" s="19">
        <f>SUM(B88:M88)</f>
        <v>134400</v>
      </c>
      <c r="AB88" s="19">
        <f>SUM(B88:Y88)</f>
        <v>268799.9999999999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3500000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5750000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5</v>
      </c>
    </row>
    <row r="27" spans="1:48">
      <c r="A27" s="14" t="s">
        <v>110</v>
      </c>
    </row>
    <row r="29" spans="1:48">
      <c r="A29" s="45" t="s">
        <v>111</v>
      </c>
      <c r="B29" s="156"/>
    </row>
    <row r="30" spans="1:48">
      <c r="A30" s="44" t="s">
        <v>112</v>
      </c>
      <c r="B30" s="157">
        <v>20000</v>
      </c>
    </row>
    <row r="31" spans="1:48">
      <c r="A31" s="5" t="s">
        <v>113</v>
      </c>
      <c r="B31" s="158">
        <v>5000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92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92</v>
      </c>
    </row>
    <row r="45" spans="1:48">
      <c r="A45" s="56" t="s">
        <v>126</v>
      </c>
      <c r="B45" s="161">
        <v>500000</v>
      </c>
    </row>
    <row r="46" spans="1:48" customHeight="1" ht="30">
      <c r="A46" s="57" t="s">
        <v>127</v>
      </c>
      <c r="B46" s="161">
        <v>200000</v>
      </c>
    </row>
    <row r="47" spans="1:48" customHeight="1" ht="30">
      <c r="A47" s="57" t="s">
        <v>128</v>
      </c>
      <c r="B47" s="161">
        <v>500000</v>
      </c>
    </row>
    <row r="48" spans="1:48" customHeight="1" ht="30">
      <c r="A48" s="57" t="s">
        <v>129</v>
      </c>
      <c r="B48" s="161">
        <v>1000000</v>
      </c>
    </row>
    <row r="49" spans="1:48" customHeight="1" ht="30">
      <c r="A49" s="57" t="s">
        <v>130</v>
      </c>
      <c r="B49" s="161">
        <v>50000</v>
      </c>
    </row>
    <row r="50" spans="1:48">
      <c r="A50" s="43"/>
      <c r="B50" s="36"/>
    </row>
    <row r="51" spans="1:48">
      <c r="A51" s="58" t="s">
        <v>131</v>
      </c>
      <c r="B51" s="161">
        <v>10000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140</v>
      </c>
      <c r="C65" s="10" t="s">
        <v>141</v>
      </c>
    </row>
    <row r="66" spans="1:48">
      <c r="A66" s="142" t="s">
        <v>142</v>
      </c>
      <c r="B66" s="159">
        <v>526320</v>
      </c>
      <c r="C66" s="163">
        <v>505874</v>
      </c>
      <c r="D66" s="49">
        <f>INDEX(Parameters!$D$79:$D$90,MATCH(Inputs!A66,Parameters!$C$79:$C$90,0))</f>
        <v>9</v>
      </c>
    </row>
    <row r="67" spans="1:48">
      <c r="A67" s="143" t="s">
        <v>143</v>
      </c>
      <c r="B67" s="157">
        <v>418515</v>
      </c>
      <c r="C67" s="165">
        <v>400214</v>
      </c>
      <c r="D67" s="49">
        <f>INDEX(Parameters!$D$79:$D$90,MATCH(Inputs!A67,Parameters!$C$79:$C$90,0))</f>
        <v>10</v>
      </c>
    </row>
    <row r="68" spans="1:48">
      <c r="A68" s="143" t="s">
        <v>144</v>
      </c>
      <c r="B68" s="157">
        <v>320114</v>
      </c>
      <c r="C68" s="165">
        <v>311475</v>
      </c>
      <c r="D68" s="49">
        <f>INDEX(Parameters!$D$79:$D$90,MATCH(Inputs!A68,Parameters!$C$79:$C$90,0))</f>
        <v>11</v>
      </c>
    </row>
    <row r="69" spans="1:48">
      <c r="A69" s="143" t="s">
        <v>145</v>
      </c>
      <c r="B69" s="157">
        <v>429567</v>
      </c>
      <c r="C69" s="165">
        <v>410257</v>
      </c>
      <c r="D69" s="49">
        <f>INDEX(Parameters!$D$79:$D$90,MATCH(Inputs!A69,Parameters!$C$79:$C$90,0))</f>
        <v>12</v>
      </c>
    </row>
    <row r="70" spans="1:48">
      <c r="A70" s="143" t="s">
        <v>146</v>
      </c>
      <c r="B70" s="157">
        <v>274588</v>
      </c>
      <c r="C70" s="165">
        <v>270214</v>
      </c>
      <c r="D70" s="49">
        <f>INDEX(Parameters!$D$79:$D$90,MATCH(Inputs!A70,Parameters!$C$79:$C$90,0))</f>
        <v>1</v>
      </c>
    </row>
    <row r="71" spans="1:48">
      <c r="A71" s="144" t="s">
        <v>147</v>
      </c>
      <c r="B71" s="158">
        <v>315007</v>
      </c>
      <c r="C71" s="167">
        <v>297581</v>
      </c>
      <c r="D71" s="49">
        <f>INDEX(Parameters!$D$79:$D$90,MATCH(Inputs!A71,Parameters!$C$79:$C$90,0))</f>
        <v>2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12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154</v>
      </c>
      <c r="B80" s="168" t="s">
        <v>155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156</v>
      </c>
      <c r="B81" s="161">
        <v>200000</v>
      </c>
    </row>
    <row r="82" spans="1:48">
      <c r="A82" t="s">
        <v>157</v>
      </c>
      <c r="B82" s="161">
        <v>35</v>
      </c>
    </row>
    <row r="83" spans="1:48">
      <c r="A83" t="s">
        <v>158</v>
      </c>
      <c r="B83" s="169" t="s">
        <v>159</v>
      </c>
    </row>
    <row r="84" spans="1:48">
      <c r="A84" t="s">
        <v>160</v>
      </c>
      <c r="B84" s="169">
        <v>1</v>
      </c>
    </row>
    <row r="85" spans="1:48">
      <c r="A85" t="s">
        <v>161</v>
      </c>
      <c r="B85" s="169">
        <v>12</v>
      </c>
    </row>
    <row r="86" spans="1:48">
      <c r="A86" t="s">
        <v>162</v>
      </c>
      <c r="B86" s="161"/>
    </row>
    <row r="87" spans="1:48">
      <c r="A87" t="s">
        <v>163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164</v>
      </c>
      <c r="C3" s="15" t="s">
        <v>165</v>
      </c>
      <c r="D3" s="15" t="s">
        <v>166</v>
      </c>
      <c r="E3" s="15" t="s">
        <v>167</v>
      </c>
      <c r="F3" s="15" t="s">
        <v>168</v>
      </c>
      <c r="G3" s="15" t="s">
        <v>169</v>
      </c>
      <c r="H3" s="15" t="s">
        <v>170</v>
      </c>
      <c r="I3" s="15" t="s">
        <v>171</v>
      </c>
      <c r="J3" s="15" t="s">
        <v>172</v>
      </c>
      <c r="K3" s="15" t="s">
        <v>173</v>
      </c>
      <c r="L3" s="15" t="s">
        <v>174</v>
      </c>
      <c r="M3" s="15" t="s">
        <v>175</v>
      </c>
      <c r="N3" s="15" t="s">
        <v>176</v>
      </c>
      <c r="O3" s="15" t="s">
        <v>177</v>
      </c>
      <c r="P3" s="15" t="s">
        <v>178</v>
      </c>
      <c r="Q3" s="32" t="s">
        <v>179</v>
      </c>
      <c r="R3" s="15" t="s">
        <v>180</v>
      </c>
      <c r="S3" s="15" t="s">
        <v>181</v>
      </c>
      <c r="T3" s="15" t="s">
        <v>182</v>
      </c>
      <c r="U3" s="178" t="s">
        <v>87</v>
      </c>
      <c r="V3" s="32" t="s">
        <v>183</v>
      </c>
      <c r="W3" s="32" t="s">
        <v>184</v>
      </c>
      <c r="X3" s="32" t="s">
        <v>185</v>
      </c>
      <c r="Y3" s="32" t="s">
        <v>186</v>
      </c>
      <c r="Z3" s="32" t="s">
        <v>43</v>
      </c>
      <c r="AA3" s="32" t="s">
        <v>187</v>
      </c>
      <c r="AB3" s="32" t="s">
        <v>188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43221</v>
      </c>
      <c r="C4" s="38">
        <f>IFERROR(DATE(YEAR(B4),MONTH(B4)+ROUND(T4/2,0),DAY(B4)),B4)</f>
        <v>43221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12000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189</v>
      </c>
      <c r="D13" s="15" t="s">
        <v>190</v>
      </c>
      <c r="E13" s="15" t="s">
        <v>191</v>
      </c>
      <c r="F13" s="15" t="s">
        <v>192</v>
      </c>
      <c r="G13" s="15" t="s">
        <v>193</v>
      </c>
      <c r="H13" s="15" t="s">
        <v>194</v>
      </c>
      <c r="I13" s="15" t="s">
        <v>195</v>
      </c>
      <c r="J13" s="15" t="s">
        <v>196</v>
      </c>
      <c r="K13" s="15" t="s">
        <v>197</v>
      </c>
      <c r="L13" s="15" t="s">
        <v>198</v>
      </c>
      <c r="M13" s="178" t="s">
        <v>199</v>
      </c>
      <c r="N13" s="178" t="s">
        <v>200</v>
      </c>
      <c r="O13" s="62" t="s">
        <v>201</v>
      </c>
      <c r="P13" s="62" t="s">
        <v>202</v>
      </c>
      <c r="Q13" s="62" t="s">
        <v>203</v>
      </c>
      <c r="R13" s="62" t="s">
        <v>204</v>
      </c>
      <c r="S13" s="62" t="s">
        <v>205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206</v>
      </c>
      <c r="C22" s="74" t="s">
        <v>207</v>
      </c>
      <c r="D22" s="74" t="s">
        <v>208</v>
      </c>
      <c r="E22" s="74" t="s">
        <v>209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211</v>
      </c>
      <c r="B32" s="129" t="s">
        <v>212</v>
      </c>
      <c r="C32" s="129" t="s">
        <v>213</v>
      </c>
      <c r="D32" s="129" t="s">
        <v>214</v>
      </c>
      <c r="F32" s="132" t="s">
        <v>215</v>
      </c>
      <c r="G32" s="132" t="s">
        <v>216</v>
      </c>
      <c r="I32" s="174" t="s">
        <v>217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43209</v>
      </c>
      <c r="C33" s="27">
        <f>IF(B33&lt;&gt;"",IF(COUNT($A$33:A33)&lt;=$G$39,0,$G$41)+IF(COUNT($A$33:A33)&lt;=$G$40,0,$G$42),0)</f>
        <v>22500</v>
      </c>
      <c r="D33" s="170">
        <f>IFERROR(DATE(YEAR(B33),MONTH(B33),1)," ")</f>
        <v>43191</v>
      </c>
      <c r="F33" t="s">
        <v>153</v>
      </c>
      <c r="G33" s="128">
        <f>IF(Inputs!B79="","",DATE(YEAR(Inputs!B79),MONTH(Inputs!B79),DAY(Inputs!B79)))</f>
        <v>43168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43239</v>
      </c>
      <c r="C34" s="27">
        <f>IF(B34&lt;&gt;"",IF(COUNT($A$33:A34)&lt;=$G$39,0,$G$41)+IF(COUNT($A$33:A34)&lt;=$G$40,0,$G$42),0)</f>
        <v>22500</v>
      </c>
      <c r="D34" s="170">
        <f>IFERROR(DATE(YEAR(B34),MONTH(B34),1)," ")</f>
        <v>43221</v>
      </c>
      <c r="F34" t="s">
        <v>154</v>
      </c>
      <c r="G34" s="128">
        <f>IF(Inputs!B80="","",DATE(YEAR(Inputs!B80),MONTH(Inputs!B80),DAY(Inputs!B80)))</f>
        <v>43209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43270</v>
      </c>
      <c r="C35" s="27">
        <f>IF(B35&lt;&gt;"",IF(COUNT($A$33:A35)&lt;=$G$39,0,$G$41)+IF(COUNT($A$33:A35)&lt;=$G$40,0,$G$42),0)</f>
        <v>22500</v>
      </c>
      <c r="D35" s="170">
        <f>IFERROR(DATE(YEAR(B35),MONTH(B35),1)," ")</f>
        <v>43252</v>
      </c>
      <c r="F35" t="s">
        <v>156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43300</v>
      </c>
      <c r="C36" s="27">
        <f>IF(B36&lt;&gt;"",IF(COUNT($A$33:A36)&lt;=$G$39,0,$G$41)+IF(COUNT($A$33:A36)&lt;=$G$40,0,$G$42),0)</f>
        <v>22500</v>
      </c>
      <c r="D36" s="170">
        <f>IFERROR(DATE(YEAR(B36),MONTH(B36),1)," ")</f>
        <v>43282</v>
      </c>
      <c r="F36" t="s">
        <v>157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43331</v>
      </c>
      <c r="C37" s="27">
        <f>IF(B37&lt;&gt;"",IF(COUNT($A$33:A37)&lt;=$G$39,0,$G$41)+IF(COUNT($A$33:A37)&lt;=$G$40,0,$G$42),0)</f>
        <v>22500</v>
      </c>
      <c r="D37" s="170">
        <f>IFERROR(DATE(YEAR(B37),MONTH(B37),1)," ")</f>
        <v>43313</v>
      </c>
      <c r="F37" t="s">
        <v>218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43362</v>
      </c>
      <c r="C38" s="27">
        <f>IF(B38&lt;&gt;"",IF(COUNT($A$33:A38)&lt;=$G$39,0,$G$41)+IF(COUNT($A$33:A38)&lt;=$G$40,0,$G$42),0)</f>
        <v>22500</v>
      </c>
      <c r="D38" s="170">
        <f>IFERROR(DATE(YEAR(B38),MONTH(B38),1)," ")</f>
        <v>43344</v>
      </c>
      <c r="F38" t="s">
        <v>219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43392</v>
      </c>
      <c r="C39" s="27">
        <f>IF(B39&lt;&gt;"",IF(COUNT($A$33:A39)&lt;=$G$39,0,$G$41)+IF(COUNT($A$33:A39)&lt;=$G$40,0,$G$42),0)</f>
        <v>22500</v>
      </c>
      <c r="D39" s="170">
        <f>IFERROR(DATE(YEAR(B39),MONTH(B39),1)," ")</f>
        <v>43374</v>
      </c>
      <c r="F39" t="s">
        <v>162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43423</v>
      </c>
      <c r="C40" s="27">
        <f>IF(B40&lt;&gt;"",IF(COUNT($A$33:A40)&lt;=$G$39,0,$G$41)+IF(COUNT($A$33:A40)&lt;=$G$40,0,$G$42),0)</f>
        <v>22500</v>
      </c>
      <c r="D40" s="170">
        <f>IFERROR(DATE(YEAR(B40),MONTH(B40),1)," ")</f>
        <v>43405</v>
      </c>
      <c r="F40" t="s">
        <v>163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43453</v>
      </c>
      <c r="C41" s="27">
        <f>IF(B41&lt;&gt;"",IF(COUNT($A$33:A41)&lt;=$G$39,0,$G$41)+IF(COUNT($A$33:A41)&lt;=$G$40,0,$G$42),0)</f>
        <v>22500</v>
      </c>
      <c r="D41" s="170">
        <f>IFERROR(DATE(YEAR(B41),MONTH(B41),1)," ")</f>
        <v>43435</v>
      </c>
      <c r="F41" t="s">
        <v>220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43484</v>
      </c>
      <c r="C42" s="27">
        <f>IF(B42&lt;&gt;"",IF(COUNT($A$33:A42)&lt;=$G$39,0,$G$41)+IF(COUNT($A$33:A42)&lt;=$G$40,0,$G$42),0)</f>
        <v>22500</v>
      </c>
      <c r="D42" s="170">
        <f>IFERROR(DATE(YEAR(B42),MONTH(B42),1)," ")</f>
        <v>43466</v>
      </c>
      <c r="F42" t="s">
        <v>221</v>
      </c>
      <c r="G42" s="73">
        <f>IFERROR(G35*G36*IF(G37="Monthly",G38/12,IF(G37="Fortnightly",G38/(365/14),G38/(365/28)))/(G38-G40),"")</f>
        <v>5833.333333333333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43515</v>
      </c>
      <c r="C43" s="27">
        <f>IF(B43&lt;&gt;"",IF(COUNT($A$33:A43)&lt;=$G$39,0,$G$41)+IF(COUNT($A$33:A43)&lt;=$G$40,0,$G$42),0)</f>
        <v>22500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43543</v>
      </c>
      <c r="C44" s="27">
        <f>IF(B44&lt;&gt;"",IF(COUNT($A$33:A44)&lt;=$G$39,0,$G$41)+IF(COUNT($A$33:A44)&lt;=$G$40,0,$G$42),0)</f>
        <v>22500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0" t="s">
        <v>229</v>
      </c>
      <c r="J3" s="10" t="s">
        <v>230</v>
      </c>
      <c r="K3" s="10" t="s">
        <v>231</v>
      </c>
      <c r="L3" s="10" t="s">
        <v>232</v>
      </c>
      <c r="M3" s="10" t="s">
        <v>233</v>
      </c>
      <c r="N3" s="10" t="s">
        <v>234</v>
      </c>
      <c r="O3" s="10" t="s">
        <v>235</v>
      </c>
      <c r="P3" s="10" t="s">
        <v>236</v>
      </c>
      <c r="Q3" s="10" t="s">
        <v>237</v>
      </c>
      <c r="R3" s="10" t="s">
        <v>238</v>
      </c>
      <c r="S3" s="10" t="s">
        <v>239</v>
      </c>
      <c r="T3" s="10" t="s">
        <v>240</v>
      </c>
      <c r="U3" s="10" t="s">
        <v>180</v>
      </c>
      <c r="V3" s="10" t="s">
        <v>178</v>
      </c>
      <c r="W3" s="10" t="s">
        <v>241</v>
      </c>
      <c r="X3" s="10" t="s">
        <v>242</v>
      </c>
      <c r="Y3" s="10" t="s">
        <v>243</v>
      </c>
      <c r="Z3" s="10" t="s">
        <v>244</v>
      </c>
      <c r="AA3" s="10" t="s">
        <v>245</v>
      </c>
      <c r="AB3" s="10" t="s">
        <v>246</v>
      </c>
      <c r="AC3" s="10" t="s">
        <v>247</v>
      </c>
      <c r="AD3" s="10" t="s">
        <v>248</v>
      </c>
      <c r="AE3" s="10" t="s">
        <v>249</v>
      </c>
      <c r="AF3" s="10" t="s">
        <v>250</v>
      </c>
      <c r="AG3" s="10" t="s">
        <v>251</v>
      </c>
      <c r="AH3" s="10" t="s">
        <v>252</v>
      </c>
      <c r="AI3" s="10" t="s">
        <v>253</v>
      </c>
    </row>
    <row r="4" spans="1:36" s="93" customFormat="1">
      <c r="A4" s="93" t="s">
        <v>254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194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289</v>
      </c>
      <c r="B24" s="21" t="s">
        <v>290</v>
      </c>
      <c r="C24" s="116" t="s">
        <v>256</v>
      </c>
      <c r="D24" s="115" t="s">
        <v>256</v>
      </c>
      <c r="E24" s="106">
        <v>0.05</v>
      </c>
      <c r="F24" s="106">
        <v>0.1</v>
      </c>
      <c r="G24" s="106">
        <v>0.2</v>
      </c>
      <c r="H24" s="116" t="s">
        <v>256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291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256</v>
      </c>
      <c r="J25" s="72" t="s">
        <v>256</v>
      </c>
      <c r="K25" s="72" t="s">
        <v>256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290</v>
      </c>
      <c r="C26" s="116" t="s">
        <v>256</v>
      </c>
      <c r="D26" s="115" t="s">
        <v>256</v>
      </c>
      <c r="E26" s="106">
        <v>0.2</v>
      </c>
      <c r="F26" s="106">
        <v>0.7</v>
      </c>
      <c r="G26" s="106">
        <v>2</v>
      </c>
      <c r="H26" s="116" t="s">
        <v>256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290</v>
      </c>
      <c r="C27" s="116" t="s">
        <v>256</v>
      </c>
      <c r="D27" s="115" t="s">
        <v>256</v>
      </c>
      <c r="E27" s="106">
        <v>0.15</v>
      </c>
      <c r="F27" s="106">
        <v>0.25</v>
      </c>
      <c r="G27" s="106">
        <v>1</v>
      </c>
      <c r="H27" s="116" t="s">
        <v>256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290</v>
      </c>
      <c r="C28" s="116" t="s">
        <v>256</v>
      </c>
      <c r="D28" s="115" t="s">
        <v>256</v>
      </c>
      <c r="E28" s="106">
        <v>0.15</v>
      </c>
      <c r="F28" s="106">
        <v>0.25</v>
      </c>
      <c r="G28" s="106">
        <v>1</v>
      </c>
      <c r="H28" s="116" t="s">
        <v>256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290</v>
      </c>
      <c r="C29" s="31" t="s">
        <v>256</v>
      </c>
      <c r="D29" s="31" t="s">
        <v>256</v>
      </c>
      <c r="E29" s="24">
        <v>0.1</v>
      </c>
      <c r="F29" s="24">
        <v>0.2</v>
      </c>
      <c r="G29" s="24">
        <v>0</v>
      </c>
      <c r="H29" s="31" t="s">
        <v>256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96</v>
      </c>
      <c r="B41" s="191" t="s">
        <v>307</v>
      </c>
      <c r="C41" s="191" t="s">
        <v>92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289</v>
      </c>
      <c r="B43" s="72">
        <v>450</v>
      </c>
      <c r="C43" s="72">
        <v>250</v>
      </c>
    </row>
    <row r="44" spans="1:36">
      <c r="A44" t="s">
        <v>291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309</v>
      </c>
      <c r="H52" s="12" t="s">
        <v>310</v>
      </c>
      <c r="I52" s="12" t="s">
        <v>124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222</v>
      </c>
      <c r="E53" s="10" t="s">
        <v>181</v>
      </c>
      <c r="F53" s="10" t="s">
        <v>241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307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307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307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307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307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307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307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159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218</v>
      </c>
      <c r="J76" s="11" t="s">
        <v>343</v>
      </c>
      <c r="K76" s="11" t="s">
        <v>171</v>
      </c>
      <c r="AJ76" s="12"/>
    </row>
    <row r="77" spans="1:36">
      <c r="A77" t="s">
        <v>92</v>
      </c>
      <c r="B77" s="176">
        <v>0</v>
      </c>
      <c r="C77" s="12" t="s">
        <v>344</v>
      </c>
      <c r="E77" s="12" t="s">
        <v>307</v>
      </c>
      <c r="F77" s="12" t="s">
        <v>307</v>
      </c>
      <c r="G77" s="12" t="s">
        <v>345</v>
      </c>
      <c r="H77" s="12" t="s">
        <v>310</v>
      </c>
      <c r="I77" s="12" t="s">
        <v>346</v>
      </c>
      <c r="J77" s="136" t="s">
        <v>347</v>
      </c>
      <c r="K77" s="12" t="s">
        <v>307</v>
      </c>
      <c r="AJ77" s="12"/>
    </row>
    <row r="78" spans="1:36">
      <c r="A78" t="s">
        <v>307</v>
      </c>
      <c r="B78" s="176">
        <v>5</v>
      </c>
      <c r="C78" s="134" t="s">
        <v>348</v>
      </c>
      <c r="D78" s="133"/>
      <c r="E78" s="12" t="s">
        <v>349</v>
      </c>
      <c r="F78" s="12" t="s">
        <v>93</v>
      </c>
      <c r="G78" s="12" t="s">
        <v>350</v>
      </c>
      <c r="H78" s="12" t="s">
        <v>124</v>
      </c>
      <c r="I78" s="12" t="s">
        <v>351</v>
      </c>
      <c r="J78" s="70" t="s">
        <v>352</v>
      </c>
      <c r="K78" s="12" t="s">
        <v>307</v>
      </c>
      <c r="AJ78" s="12"/>
    </row>
    <row r="79" spans="1:36">
      <c r="B79" s="176">
        <v>10</v>
      </c>
      <c r="C79" s="12" t="s">
        <v>146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159</v>
      </c>
      <c r="J79" s="70" t="s">
        <v>356</v>
      </c>
      <c r="K79" s="12" t="s">
        <v>307</v>
      </c>
      <c r="AJ79" s="12"/>
    </row>
    <row r="80" spans="1:36">
      <c r="B80" s="176">
        <v>20</v>
      </c>
      <c r="C80" s="12" t="s">
        <v>147</v>
      </c>
      <c r="D80" s="12">
        <f>D79+1</f>
        <v>2</v>
      </c>
      <c r="E80" s="12" t="s">
        <v>91</v>
      </c>
      <c r="F80" s="12" t="s">
        <v>357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92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361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142</v>
      </c>
      <c r="D87" s="12">
        <f>D86+1</f>
        <v>9</v>
      </c>
    </row>
    <row r="88" spans="1:36">
      <c r="B88" s="176">
        <v>99.99999999999999</v>
      </c>
      <c r="C88" s="12" t="s">
        <v>143</v>
      </c>
      <c r="D88" s="12">
        <f>D87+1</f>
        <v>10</v>
      </c>
    </row>
    <row r="89" spans="1:36">
      <c r="C89" s="12" t="s">
        <v>144</v>
      </c>
      <c r="D89" s="12">
        <f>D88+1</f>
        <v>11</v>
      </c>
    </row>
    <row r="90" spans="1:36">
      <c r="C90" s="12" t="s">
        <v>145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