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<sst xmlns="http://schemas.openxmlformats.org/spreadsheetml/2006/main" uniqueCount="365">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</sst>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0.2111111111111111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9500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14010</v>
      </c>
      <c r="I7" s="80">
        <f>IF(ISERROR(VLOOKUP(MONTH(I5),Inputs!$D$66:$D$71,1,0)),"",INDEX(Inputs!$B$66:$B$71,MATCH(MONTH(Output!I5),Inputs!$D$66:$D$71,0))-INDEX(Inputs!$C$66:$C$71,MATCH(MONTH(Output!I5),Inputs!$D$66:$D$71,0)))</f>
        <v>14100</v>
      </c>
      <c r="J7" s="80">
        <f>IF(ISERROR(VLOOKUP(MONTH(J5),Inputs!$D$66:$D$71,1,0)),"",INDEX(Inputs!$B$66:$B$71,MATCH(MONTH(Output!J5),Inputs!$D$66:$D$71,0))-INDEX(Inputs!$C$66:$C$71,MATCH(MONTH(Output!J5),Inputs!$D$66:$D$71,0)))</f>
        <v>15009</v>
      </c>
      <c r="K7" s="80">
        <f>IF(ISERROR(VLOOKUP(MONTH(K5),Inputs!$D$66:$D$71,1,0)),"",INDEX(Inputs!$B$66:$B$71,MATCH(MONTH(Output!K5),Inputs!$D$66:$D$71,0))-INDEX(Inputs!$C$66:$C$71,MATCH(MONTH(Output!K5),Inputs!$D$66:$D$71,0)))</f>
        <v>15000</v>
      </c>
      <c r="L7" s="80">
        <f>IF(ISERROR(VLOOKUP(MONTH(L5),Inputs!$D$66:$D$71,1,0)),"",INDEX(Inputs!$B$66:$B$71,MATCH(MONTH(Output!L5),Inputs!$D$66:$D$71,0))-INDEX(Inputs!$C$66:$C$71,MATCH(MONTH(Output!L5),Inputs!$D$66:$D$71,0)))</f>
        <v>6910</v>
      </c>
      <c r="M7" s="80">
        <f>IF(ISERROR(VLOOKUP(MONTH(M5),Inputs!$D$66:$D$71,1,0)),"",INDEX(Inputs!$B$66:$B$71,MATCH(MONTH(Output!M5),Inputs!$D$66:$D$71,0))-INDEX(Inputs!$C$66:$C$71,MATCH(MONTH(Output!M5),Inputs!$D$66:$D$71,0)))</f>
        <v>15000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14010</v>
      </c>
      <c r="U7" s="80">
        <f>IF(ISERROR(VLOOKUP(MONTH(U5),Inputs!$D$66:$D$71,1,0)),"",INDEX(Inputs!$B$66:$B$71,MATCH(MONTH(Output!U5),Inputs!$D$66:$D$71,0))-INDEX(Inputs!$C$66:$C$71,MATCH(MONTH(Output!U5),Inputs!$D$66:$D$71,0)))</f>
        <v>14100</v>
      </c>
      <c r="V7" s="80">
        <f>IF(ISERROR(VLOOKUP(MONTH(V5),Inputs!$D$66:$D$71,1,0)),"",INDEX(Inputs!$B$66:$B$71,MATCH(MONTH(Output!V5),Inputs!$D$66:$D$71,0))-INDEX(Inputs!$C$66:$C$71,MATCH(MONTH(Output!V5),Inputs!$D$66:$D$71,0)))</f>
        <v>15009</v>
      </c>
      <c r="W7" s="80">
        <f>IF(ISERROR(VLOOKUP(MONTH(W5),Inputs!$D$66:$D$71,1,0)),"",INDEX(Inputs!$B$66:$B$71,MATCH(MONTH(Output!W5),Inputs!$D$66:$D$71,0))-INDEX(Inputs!$C$66:$C$71,MATCH(MONTH(Output!W5),Inputs!$D$66:$D$71,0)))</f>
        <v>15000</v>
      </c>
      <c r="X7" s="80">
        <f>IF(ISERROR(VLOOKUP(MONTH(X5),Inputs!$D$66:$D$71,1,0)),"",INDEX(Inputs!$B$66:$B$71,MATCH(MONTH(Output!X5),Inputs!$D$66:$D$71,0))-INDEX(Inputs!$C$66:$C$71,MATCH(MONTH(Output!X5),Inputs!$D$66:$D$71,0)))</f>
        <v>6910</v>
      </c>
      <c r="Y7" s="80">
        <f>IF(ISERROR(VLOOKUP(MONTH(Y5),Inputs!$D$66:$D$71,1,0)),"",INDEX(Inputs!$B$66:$B$71,MATCH(MONTH(Output!Y5),Inputs!$D$66:$D$71,0))-INDEX(Inputs!$C$66:$C$71,MATCH(MONTH(Output!Y5),Inputs!$D$66:$D$71,0)))</f>
        <v>15000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95000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95000</v>
      </c>
      <c r="AA9" s="75">
        <f>SUM(B9:M9)</f>
        <v>95000</v>
      </c>
      <c r="AB9" s="75">
        <f>SUM(B9:Y9)</f>
        <v>95000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9500</v>
      </c>
      <c r="D10" s="37">
        <f>SUMPRODUCT((Calculations!$D$33:$D$84=Output!D5)+0,Calculations!$C$33:$C$84)</f>
        <v>9500</v>
      </c>
      <c r="E10" s="37">
        <f>SUMPRODUCT((Calculations!$D$33:$D$84=Output!E5)+0,Calculations!$C$33:$C$84)</f>
        <v>9500</v>
      </c>
      <c r="F10" s="37">
        <f>SUMPRODUCT((Calculations!$D$33:$D$84=Output!F5)+0,Calculations!$C$33:$C$84)</f>
        <v>9500</v>
      </c>
      <c r="G10" s="37">
        <f>SUMPRODUCT((Calculations!$D$33:$D$84=Output!G5)+0,Calculations!$C$33:$C$84)</f>
        <v>9500</v>
      </c>
      <c r="H10" s="37">
        <f>SUMPRODUCT((Calculations!$D$33:$D$84=Output!H5)+0,Calculations!$C$33:$C$84)</f>
        <v>9500</v>
      </c>
      <c r="I10" s="37">
        <f>SUMPRODUCT((Calculations!$D$33:$D$84=Output!I5)+0,Calculations!$C$33:$C$84)</f>
        <v>9500</v>
      </c>
      <c r="J10" s="37">
        <f>SUMPRODUCT((Calculations!$D$33:$D$84=Output!J5)+0,Calculations!$C$33:$C$84)</f>
        <v>9500</v>
      </c>
      <c r="K10" s="37">
        <f>SUMPRODUCT((Calculations!$D$33:$D$84=Output!K5)+0,Calculations!$C$33:$C$84)</f>
        <v>9500</v>
      </c>
      <c r="L10" s="37">
        <f>SUMPRODUCT((Calculations!$D$33:$D$84=Output!L5)+0,Calculations!$C$33:$C$84)</f>
        <v>9500</v>
      </c>
      <c r="M10" s="37">
        <f>SUMPRODUCT((Calculations!$D$33:$D$84=Output!M5)+0,Calculations!$C$33:$C$84)</f>
        <v>9500</v>
      </c>
      <c r="N10" s="37">
        <f>SUMPRODUCT((Calculations!$D$33:$D$84=Output!N5)+0,Calculations!$C$33:$C$84)</f>
        <v>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114000</v>
      </c>
      <c r="AA10" s="37">
        <f>SUM(B10:M10)</f>
        <v>104500</v>
      </c>
      <c r="AB10" s="37">
        <f>SUM(B10:Y10)</f>
        <v>114000</v>
      </c>
    </row>
    <row r="11" spans="1:30" customHeight="1" ht="15.75">
      <c r="A11" s="43" t="s">
        <v>31</v>
      </c>
      <c r="B11" s="80">
        <f>B6+B9-B10</f>
        <v>95000</v>
      </c>
      <c r="C11" s="80">
        <f>C6+C9-C10</f>
        <v>-9500</v>
      </c>
      <c r="D11" s="80">
        <f>D6+D9-D10</f>
        <v>-9500</v>
      </c>
      <c r="E11" s="80">
        <f>E6+E9-E10</f>
        <v>-9500</v>
      </c>
      <c r="F11" s="80">
        <f>F6+F9-F10</f>
        <v>-9500</v>
      </c>
      <c r="G11" s="80">
        <f>G6+G9-G10</f>
        <v>-9500</v>
      </c>
      <c r="H11" s="80">
        <f>H6+H9-H10</f>
        <v>-9500</v>
      </c>
      <c r="I11" s="80">
        <f>I6+I9-I10</f>
        <v>-9500</v>
      </c>
      <c r="J11" s="80">
        <f>J6+J9-J10</f>
        <v>-9500</v>
      </c>
      <c r="K11" s="80">
        <f>K6+K9-K10</f>
        <v>-9500</v>
      </c>
      <c r="L11" s="80">
        <f>L6+L9-L10</f>
        <v>-9500</v>
      </c>
      <c r="M11" s="80">
        <f>M6+M9-M10</f>
        <v>-9500</v>
      </c>
      <c r="N11" s="80">
        <f>N6+N9-N10</f>
        <v>-9500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-19000</v>
      </c>
      <c r="AA11" s="80">
        <f>SUM(B11:M11)</f>
        <v>-9500</v>
      </c>
      <c r="AB11" s="46">
        <f>SUM(B11:Y11)</f>
        <v>-19000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450000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95000</v>
      </c>
    </row>
    <row r="107" spans="1:30" customHeight="1" ht="15.75">
      <c r="A107" s="1" t="s">
        <v>72</v>
      </c>
      <c r="B107" s="19">
        <f>SUM(B104:B106)</f>
        <v>95000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450000</v>
      </c>
    </row>
    <row r="46" spans="1:48" customHeight="1" ht="30">
      <c r="A46" s="57" t="s">
        <v>122</v>
      </c>
      <c r="B46" s="161">
        <v>0</v>
      </c>
    </row>
    <row r="47" spans="1:48" customHeight="1" ht="30">
      <c r="A47" s="57" t="s">
        <v>123</v>
      </c>
      <c r="B47" s="161">
        <v>0</v>
      </c>
    </row>
    <row r="48" spans="1:48" customHeight="1" ht="30">
      <c r="A48" s="57" t="s">
        <v>124</v>
      </c>
      <c r="B48" s="161">
        <v>0</v>
      </c>
    </row>
    <row r="49" spans="1:48" customHeight="1" ht="30">
      <c r="A49" s="57" t="s">
        <v>125</v>
      </c>
      <c r="B49" s="161">
        <v>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35000</v>
      </c>
      <c r="C66" s="163">
        <v>20990</v>
      </c>
      <c r="D66" s="49">
        <f>INDEX(Parameters!$D$79:$D$90,MATCH(Inputs!A66,Parameters!$C$79:$C$90,0))</f>
        <v>9</v>
      </c>
    </row>
    <row r="67" spans="1:48">
      <c r="A67" s="143" t="s">
        <v>138</v>
      </c>
      <c r="B67" s="157">
        <v>35000</v>
      </c>
      <c r="C67" s="165">
        <v>20900</v>
      </c>
      <c r="D67" s="49">
        <f>INDEX(Parameters!$D$79:$D$90,MATCH(Inputs!A67,Parameters!$C$79:$C$90,0))</f>
        <v>10</v>
      </c>
    </row>
    <row r="68" spans="1:48">
      <c r="A68" s="143" t="s">
        <v>139</v>
      </c>
      <c r="B68" s="157">
        <v>35009</v>
      </c>
      <c r="C68" s="165">
        <v>20000</v>
      </c>
      <c r="D68" s="49">
        <f>INDEX(Parameters!$D$79:$D$90,MATCH(Inputs!A68,Parameters!$C$79:$C$90,0))</f>
        <v>11</v>
      </c>
    </row>
    <row r="69" spans="1:48">
      <c r="A69" s="143" t="s">
        <v>140</v>
      </c>
      <c r="B69" s="157">
        <v>35000</v>
      </c>
      <c r="C69" s="165">
        <v>20000</v>
      </c>
      <c r="D69" s="49">
        <f>INDEX(Parameters!$D$79:$D$90,MATCH(Inputs!A69,Parameters!$C$79:$C$90,0))</f>
        <v>12</v>
      </c>
    </row>
    <row r="70" spans="1:48">
      <c r="A70" s="143" t="s">
        <v>141</v>
      </c>
      <c r="B70" s="157">
        <v>36000</v>
      </c>
      <c r="C70" s="165">
        <v>29090</v>
      </c>
      <c r="D70" s="49">
        <f>INDEX(Parameters!$D$79:$D$90,MATCH(Inputs!A70,Parameters!$C$79:$C$90,0))</f>
        <v>1</v>
      </c>
    </row>
    <row r="71" spans="1:48">
      <c r="A71" s="144" t="s">
        <v>142</v>
      </c>
      <c r="B71" s="158">
        <v>35000</v>
      </c>
      <c r="C71" s="167">
        <v>20000</v>
      </c>
      <c r="D71" s="49">
        <f>INDEX(Parameters!$D$79:$D$90,MATCH(Inputs!A71,Parameters!$C$79:$C$90,0))</f>
        <v>2</v>
      </c>
    </row>
    <row r="73" spans="1:48">
      <c r="A73" s="3" t="s">
        <v>143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144</v>
      </c>
      <c r="B75" s="161">
        <v>5</v>
      </c>
    </row>
    <row r="76" spans="1:48">
      <c r="A76" t="s">
        <v>145</v>
      </c>
      <c r="B76" s="168" t="s">
        <v>146</v>
      </c>
    </row>
    <row r="78" spans="1:48" customHeight="1" ht="20.25">
      <c r="B78" s="127" t="s">
        <v>147</v>
      </c>
    </row>
    <row r="79" spans="1:48">
      <c r="A79" t="s">
        <v>148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95000</v>
      </c>
    </row>
    <row r="82" spans="1:48">
      <c r="A82" t="s">
        <v>153</v>
      </c>
      <c r="B82" s="161">
        <v>20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12</v>
      </c>
    </row>
    <row r="86" spans="1:48">
      <c r="A86" t="s">
        <v>158</v>
      </c>
      <c r="B86" s="161"/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9500</v>
      </c>
      <c r="D33" s="170">
        <f>IFERROR(DATE(YEAR(B33),MONTH(B33),1)," ")</f>
        <v>43191</v>
      </c>
      <c r="F33" t="s">
        <v>148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9500</v>
      </c>
      <c r="D34" s="170">
        <f>IFERROR(DATE(YEAR(B34),MONTH(B34),1)," ")</f>
        <v>43221</v>
      </c>
      <c r="F34" t="s">
        <v>150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9500</v>
      </c>
      <c r="D35" s="170">
        <f>IFERROR(DATE(YEAR(B35),MONTH(B35),1)," ")</f>
        <v>43252</v>
      </c>
      <c r="F35" t="s">
        <v>152</v>
      </c>
      <c r="G35" s="27">
        <f>Inputs!B81</f>
        <v>95000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9500</v>
      </c>
      <c r="D36" s="170">
        <f>IFERROR(DATE(YEAR(B36),MONTH(B36),1)," ")</f>
        <v>43282</v>
      </c>
      <c r="F36" t="s">
        <v>153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9500</v>
      </c>
      <c r="D37" s="170">
        <f>IFERROR(DATE(YEAR(B37),MONTH(B37),1)," ")</f>
        <v>43313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9500</v>
      </c>
      <c r="D38" s="170">
        <f>IFERROR(DATE(YEAR(B38),MONTH(B38),1)," ")</f>
        <v>43344</v>
      </c>
      <c r="F38" t="s">
        <v>215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9500</v>
      </c>
      <c r="D39" s="170">
        <f>IFERROR(DATE(YEAR(B39),MONTH(B39),1)," ")</f>
        <v>43374</v>
      </c>
      <c r="F39" t="s">
        <v>158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9500</v>
      </c>
      <c r="D40" s="170">
        <f>IFERROR(DATE(YEAR(B40),MONTH(B40),1)," ")</f>
        <v>43405</v>
      </c>
      <c r="F40" t="s">
        <v>159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9500</v>
      </c>
      <c r="D41" s="170">
        <f>IFERROR(DATE(YEAR(B41),MONTH(B41),1)," ")</f>
        <v>43435</v>
      </c>
      <c r="F41" t="s">
        <v>216</v>
      </c>
      <c r="G41" s="73">
        <f>IFERROR(G35/(G38-G39),"")</f>
        <v>7916.666666666667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9500</v>
      </c>
      <c r="D42" s="170">
        <f>IFERROR(DATE(YEAR(B42),MONTH(B42),1)," ")</f>
        <v>43466</v>
      </c>
      <c r="F42" t="s">
        <v>217</v>
      </c>
      <c r="G42" s="73">
        <f>IFERROR(G35*G36*IF(G37="Monthly",G38/12,IF(G37="Fortnightly",G38/(365/14),G38/(365/28)))/(G38-G40),"")</f>
        <v>1583.333333333333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9500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9500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115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119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115</v>
      </c>
      <c r="B77" s="176">
        <v>0</v>
      </c>
      <c r="C77" s="12" t="s">
        <v>341</v>
      </c>
      <c r="E77" s="12" t="s">
        <v>304</v>
      </c>
      <c r="F77" s="12" t="s">
        <v>304</v>
      </c>
      <c r="G77" s="12" t="s">
        <v>342</v>
      </c>
      <c r="H77" s="12" t="s">
        <v>119</v>
      </c>
      <c r="I77" s="12" t="s">
        <v>343</v>
      </c>
      <c r="J77" s="136" t="s">
        <v>344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304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304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115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115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137</v>
      </c>
      <c r="D87" s="12">
        <f>D86+1</f>
        <v>9</v>
      </c>
    </row>
    <row r="88" spans="1:36">
      <c r="B88" s="176">
        <v>99.99999999999999</v>
      </c>
      <c r="C88" s="12" t="s">
        <v>138</v>
      </c>
      <c r="D88" s="12">
        <f>D87+1</f>
        <v>10</v>
      </c>
    </row>
    <row r="89" spans="1:36">
      <c r="C89" s="12" t="s">
        <v>139</v>
      </c>
      <c r="D89" s="12">
        <f>D88+1</f>
        <v>11</v>
      </c>
    </row>
    <row r="90" spans="1:36">
      <c r="C90" s="12" t="s">
        <v>140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