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<sst xmlns="http://schemas.openxmlformats.org/spreadsheetml/2006/main" uniqueCount="371">
  <si>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</si>
  <si>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</si>
  <si>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</si>
  <si>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</si>
  <si>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</si>
  <si>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</si>
  <si>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</si>
  <si>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</si>
  <si>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</si>
  <si>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</si>
  <si>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</si>
  <si>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</si>
  <si>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</si>
  <si>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</si>
  <si>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</si>
  <si>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</si>
  <si>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</si>
  <si>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</si>
  <si>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</si>
  <si>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</si>
  <si>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</si>
  <si>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</si>
  <si>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</si>
  <si>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</si>
  <si>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</si>
  <si>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</si>
  <si>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</si>
  <si>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</si>
  <si>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</si>
  <si>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</si>
  <si>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</si>
  <si>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</si>
  <si>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</si>
  <si>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</si>
  <si>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</si>
  <si>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</si>
  <si>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</si>
  <si>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</si>
  <si>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</si>
  <si>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</si>
  <si>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</si>
  <si>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</si>
  <si>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</si>
  <si>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</si>
  <si>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</si>
  <si>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</si>
  <si>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</si>
  <si>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</si>
  <si>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</si>
  <si>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</si>
  <si>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</si>
  <si>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</si>
  <si>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</si>
  <si>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</si>
  <si>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</si>
  <si>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</si>
  <si>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</si>
  <si>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</si>
  <si>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</si>
  <si>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</si>
  <si>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</si>
  <si>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</si>
  <si>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</si>
  <si>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</si>
  <si>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</si>
  <si>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</si>
  <si>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</si>
  <si>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</si>
  <si>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</si>
  <si>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</si>
  <si>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</si>
  <si>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</si>
  <si>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</si>
  <si>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</si>
  <si>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</si>
  <si>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</si>
  <si>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</si>
  <si>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</si>
  <si>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</si>
  <si>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</si>
  <si>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</si>
  <si>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</si>
  <si>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</si>
  <si>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</si>
  <si>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</si>
  <si>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</si>
  <si>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</si>
  <si>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</si>
  <si>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</si>
  <si>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</si>
  <si>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</si>
  <si>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</si>
  <si>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</si>
  <si>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</si>
  <si>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April</t>
  </si>
  <si>
    <t>Other crops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</si>
  <si>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</si>
  <si>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</si>
  <si>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</si>
  <si>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</si>
  <si>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</si>
  <si>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</si>
  <si>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</si>
  <si>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</si>
  <si>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</si>
  <si>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</si>
  <si>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</si>
  <si>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</si>
  <si>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</si>
  <si>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</si>
  <si>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</si>
  <si>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</si>
  <si>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Sheep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</si>
  <si>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</si>
  <si>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</si>
  <si>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</si>
  <si>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</si>
  <si>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</si>
  <si>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civil servant/supplies of avacados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</si>
  <si>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</si>
  <si>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</si>
  <si>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</si>
  <si>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</si>
  <si>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</si>
  <si>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</si>
  <si>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</si>
  <si>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</si>
  <si>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</si>
  <si>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</si>
  <si>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</si>
  <si>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</si>
  <si>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</si>
  <si>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</si>
  <si>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</si>
  <si>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</si>
  <si>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</si>
  <si>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</si>
  <si>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</si>
  <si>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</si>
  <si>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</si>
  <si>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</si>
  <si>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</si>
  <si>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</si>
  <si>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</si>
  <si>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</si>
  <si>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</si>
  <si>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8/12/2016</t>
  </si>
  <si>
    <t>NIC</t>
  </si>
  <si>
    <t>Well derviced</t>
  </si>
  <si>
    <t>1/16/2018</t>
  </si>
  <si>
    <t>Equity</t>
  </si>
  <si>
    <t>Performing</t>
  </si>
  <si>
    <t>Mpesa &amp; bank cash flows (from past statements)</t>
  </si>
  <si>
    <t>Cash inflows</t>
  </si>
  <si>
    <t>Cash outflows</t>
  </si>
  <si>
    <t>March</t>
  </si>
  <si>
    <t>February</t>
  </si>
  <si>
    <t>January</t>
  </si>
  <si>
    <t>December</t>
  </si>
  <si>
    <t>November</t>
  </si>
  <si>
    <t>October</t>
  </si>
  <si>
    <t>Loan info</t>
  </si>
  <si>
    <t>Branch ID</t>
  </si>
  <si>
    <t>Submission date</t>
  </si>
  <si>
    <t>2018/3/14</t>
  </si>
  <si>
    <t>Loan terms</t>
  </si>
  <si>
    <t>Expected disbursement date</t>
  </si>
  <si>
    <t>Expected first repayment date</t>
  </si>
  <si>
    <t>2018/4/14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</si>
  <si>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</si>
  <si>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</si>
  <si>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</si>
  <si>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</si>
  <si>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</si>
  <si>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</si>
  <si>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</si>
  <si>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</si>
  <si>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</si>
  <si>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</si>
  <si>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</si>
  <si>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</si>
  <si>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</si>
  <si>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</si>
  <si>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</si>
  <si>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</si>
  <si>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</si>
  <si>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</si>
  <si>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</si>
  <si>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</si>
  <si>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</si>
  <si>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</si>
  <si>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</si>
  <si>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</si>
  <si>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</si>
  <si>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</si>
  <si>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</si>
  <si>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</si>
  <si>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</si>
  <si>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</si>
  <si>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</si>
  <si>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</si>
  <si>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</si>
  <si>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</si>
  <si>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</si>
  <si>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</si>
  <si>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</si>
  <si>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</si>
  <si>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</si>
  <si>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</si>
  <si>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</si>
  <si>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</si>
  <si>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</si>
  <si>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</si>
  <si>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</si>
  <si>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</si>
  <si>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</si>
  <si>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</si>
  <si>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</si>
  <si>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</si>
  <si>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</si>
  <si>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</si>
  <si>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</si>
  <si>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</si>
  <si>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</si>
  <si>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</si>
  <si>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</si>
  <si>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</si>
  <si>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</si>
  <si>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</si>
  <si>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</si>
  <si>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</si>
  <si>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</si>
  <si>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</si>
  <si>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</si>
  <si>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</si>
  <si>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</si>
  <si>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</si>
  <si>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</si>
  <si>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</si>
  <si>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</si>
  <si>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</si>
  <si>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</si>
  <si>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</si>
  <si>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</si>
  <si>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</si>
  <si>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</si>
  <si>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</si>
  <si>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</si>
  <si>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</si>
  <si>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</si>
  <si>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</si>
  <si>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</si>
  <si>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</si>
  <si>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</si>
  <si>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</si>
  <si>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</si>
  <si>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</si>
  <si>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</si>
  <si>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</si>
  <si>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</si>
  <si>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</si>
  <si>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</si>
  <si>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</si>
  <si>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</si>
  <si>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</si>
  <si>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</si>
  <si>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</si>
  <si>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</si>
  <si>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</si>
  <si>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</si>
  <si>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</si>
  <si>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</si>
  <si>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</si>
  <si>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</si>
  <si>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</si>
  <si>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</si>
  <si>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</si>
  <si>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</si>
  <si>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</si>
  <si>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</si>
  <si>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</si>
  <si>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</si>
  <si>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</si>
  <si>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</si>
  <si>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</si>
  <si>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</si>
  <si>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</si>
  <si>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</si>
  <si>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</si>
  <si>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</si>
  <si>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</si>
  <si>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</si>
  <si>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</si>
  <si>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</si>
  <si>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</si>
  <si>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</si>
  <si>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</si>
  <si>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</si>
  <si>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</si>
  <si>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</si>
  <si>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</si>
  <si>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</si>
  <si>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</si>
  <si>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</si>
  <si>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</si>
  <si>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</si>
  <si>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</si>
  <si>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</si>
  <si>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</si>
  <si>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</si>
  <si>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</si>
  <si>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</si>
  <si>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</si>
  <si>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</si>
  <si>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</si>
  <si>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</si>
  <si>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</si>
  <si>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</si>
  <si>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</si>
  <si>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</si>
  <si>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</si>
  <si>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</si>
  <si>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</si>
  <si>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</si>
  <si>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</si>
  <si>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</si>
  <si>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</si>
  <si>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</si>
  <si>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</si>
  <si>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</si>
  <si>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</si>
  <si>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</si>
  <si>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</si>
  <si>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</si>
  <si>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</si>
  <si>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</si>
  <si>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</si>
  <si>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</si>
  <si>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</si>
  <si>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</si>
  <si>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</si>
  <si>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</si>
  <si>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</si>
  <si>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</si>
  <si>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</si>
  <si>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</si>
  <si>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</si>
  <si>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</si>
  <si>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</si>
  <si>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</si>
  <si>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</si>
  <si>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</si>
  <si>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</si>
  <si>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</si>
  <si>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</si>
  <si>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</si>
  <si>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</si>
  <si>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</si>
  <si>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</si>
  <si>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</si>
  <si>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</si>
  <si>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</si>
  <si>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</si>
  <si>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</si>
  <si>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</si>
  <si>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</si>
  <si>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NGO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</si>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</sst>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Sheep</v>
      </c>
    </row>
    <row r="8" spans="1:7">
      <c r="B8" s="1" t="s">
        <v>4</v>
      </c>
      <c r="C8" t="str">
        <f>IF(Inputs!B29="","None",Inputs!B29)</f>
        <v>civil servant/supplies of avacados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0.6643705567405982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0.3151390320555486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133333.3333333333</v>
      </c>
    </row>
    <row r="17" spans="1:7">
      <c r="B17" s="1" t="s">
        <v>11</v>
      </c>
      <c r="C17" s="36">
        <f>SUM(Output!B6:M6)</f>
        <v>408038.0207540466</v>
      </c>
    </row>
    <row r="18" spans="1:7">
      <c r="B18" s="1" t="s">
        <v>12</v>
      </c>
      <c r="C18" s="36">
        <f>MIN(Output!B6:M6)</f>
        <v>17767.35495690338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65305.11529391556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1628750</v>
      </c>
    </row>
    <row r="25" spans="1:7">
      <c r="B25" s="1" t="s">
        <v>18</v>
      </c>
      <c r="C25" s="36">
        <f>MAX(Inputs!A56:A60)</f>
        <v>2707500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65305.11529391556</v>
      </c>
      <c r="C6" s="51">
        <f>C30-C88</f>
        <v>17767.35495690338</v>
      </c>
      <c r="D6" s="51">
        <f>D30-D88</f>
        <v>20676.35495690338</v>
      </c>
      <c r="E6" s="51">
        <f>E30-E88</f>
        <v>23776.35495690338</v>
      </c>
      <c r="F6" s="51">
        <f>F30-F88</f>
        <v>24676.35495690338</v>
      </c>
      <c r="G6" s="51">
        <f>G30-G88</f>
        <v>49817.47525549424</v>
      </c>
      <c r="H6" s="51">
        <f>H30-H88</f>
        <v>65305.11529391556</v>
      </c>
      <c r="I6" s="51">
        <f>I30-I88</f>
        <v>17767.35495690338</v>
      </c>
      <c r="J6" s="51">
        <f>J30-J88</f>
        <v>24676.35495690338</v>
      </c>
      <c r="K6" s="51">
        <f>K30-K88</f>
        <v>23776.35495690338</v>
      </c>
      <c r="L6" s="51">
        <f>L30-L88</f>
        <v>24676.35495690338</v>
      </c>
      <c r="M6" s="51">
        <f>M30-M88</f>
        <v>49817.47525549424</v>
      </c>
      <c r="N6" s="51">
        <f>N30-N88</f>
        <v>65305.11529391556</v>
      </c>
      <c r="O6" s="51">
        <f>O30-O88</f>
        <v>17767.35495690338</v>
      </c>
      <c r="P6" s="51">
        <f>P30-P88</f>
        <v>20676.35495690338</v>
      </c>
      <c r="Q6" s="51">
        <f>Q30-Q88</f>
        <v>23776.35495690338</v>
      </c>
      <c r="R6" s="51">
        <f>R30-R88</f>
        <v>24676.35495690338</v>
      </c>
      <c r="S6" s="51">
        <f>S30-S88</f>
        <v>62644.62926850934</v>
      </c>
      <c r="T6" s="51">
        <f>T30-T88</f>
        <v>196470.901627972</v>
      </c>
      <c r="U6" s="51">
        <f>U30-U88</f>
        <v>148933.1412909598</v>
      </c>
      <c r="V6" s="51">
        <f>V30-V88</f>
        <v>155842.1412909598</v>
      </c>
      <c r="W6" s="51">
        <f>W30-W88</f>
        <v>154942.1412909598</v>
      </c>
      <c r="X6" s="51">
        <f>X30-X88</f>
        <v>155842.1412909598</v>
      </c>
      <c r="Y6" s="51">
        <f>Y30-Y88</f>
        <v>180983.2615895507</v>
      </c>
      <c r="Z6" s="51">
        <f>SUMIF($B$13:$Y$13,"Yes",B6:Y6)</f>
        <v>1615897.913525447</v>
      </c>
      <c r="AA6" s="51">
        <f>AA30-AA88</f>
        <v>408038.0207540486</v>
      </c>
      <c r="AB6" s="51">
        <f>AB30-AB88</f>
        <v>1615897.913525449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-47640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124807</v>
      </c>
      <c r="J7" s="80">
        <f>IF(ISERROR(VLOOKUP(MONTH(J5),Inputs!$D$66:$D$71,1,0)),"",INDEX(Inputs!$B$66:$B$71,MATCH(MONTH(Output!J5),Inputs!$D$66:$D$71,0))-INDEX(Inputs!$C$66:$C$71,MATCH(MONTH(Output!J5),Inputs!$D$66:$D$71,0)))</f>
        <v>174956</v>
      </c>
      <c r="K7" s="80">
        <f>IF(ISERROR(VLOOKUP(MONTH(K5),Inputs!$D$66:$D$71,1,0)),"",INDEX(Inputs!$B$66:$B$71,MATCH(MONTH(Output!K5),Inputs!$D$66:$D$71,0))-INDEX(Inputs!$C$66:$C$71,MATCH(MONTH(Output!K5),Inputs!$D$66:$D$71,0)))</f>
        <v>-17603</v>
      </c>
      <c r="L7" s="80">
        <f>IF(ISERROR(VLOOKUP(MONTH(L5),Inputs!$D$66:$D$71,1,0)),"",INDEX(Inputs!$B$66:$B$71,MATCH(MONTH(Output!L5),Inputs!$D$66:$D$71,0))-INDEX(Inputs!$C$66:$C$71,MATCH(MONTH(Output!L5),Inputs!$D$66:$D$71,0)))</f>
        <v>38451</v>
      </c>
      <c r="M7" s="80">
        <f>IF(ISERROR(VLOOKUP(MONTH(M5),Inputs!$D$66:$D$71,1,0)),"",INDEX(Inputs!$B$66:$B$71,MATCH(MONTH(Output!M5),Inputs!$D$66:$D$71,0))-INDEX(Inputs!$C$66:$C$71,MATCH(MONTH(Output!M5),Inputs!$D$66:$D$71,0)))</f>
        <v>60962</v>
      </c>
      <c r="N7" s="80">
        <f>IF(ISERROR(VLOOKUP(MONTH(N5),Inputs!$D$66:$D$71,1,0)),"",INDEX(Inputs!$B$66:$B$71,MATCH(MONTH(Output!N5),Inputs!$D$66:$D$71,0))-INDEX(Inputs!$C$66:$C$71,MATCH(MONTH(Output!N5),Inputs!$D$66:$D$71,0)))</f>
        <v>-47640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124807</v>
      </c>
      <c r="V7" s="80">
        <f>IF(ISERROR(VLOOKUP(MONTH(V5),Inputs!$D$66:$D$71,1,0)),"",INDEX(Inputs!$B$66:$B$71,MATCH(MONTH(Output!V5),Inputs!$D$66:$D$71,0))-INDEX(Inputs!$C$66:$C$71,MATCH(MONTH(Output!V5),Inputs!$D$66:$D$71,0)))</f>
        <v>174956</v>
      </c>
      <c r="W7" s="80">
        <f>IF(ISERROR(VLOOKUP(MONTH(W5),Inputs!$D$66:$D$71,1,0)),"",INDEX(Inputs!$B$66:$B$71,MATCH(MONTH(Output!W5),Inputs!$D$66:$D$71,0))-INDEX(Inputs!$C$66:$C$71,MATCH(MONTH(Output!W5),Inputs!$D$66:$D$71,0)))</f>
        <v>-17603</v>
      </c>
      <c r="X7" s="80">
        <f>IF(ISERROR(VLOOKUP(MONTH(X5),Inputs!$D$66:$D$71,1,0)),"",INDEX(Inputs!$B$66:$B$71,MATCH(MONTH(Output!X5),Inputs!$D$66:$D$71,0))-INDEX(Inputs!$C$66:$C$71,MATCH(MONTH(Output!X5),Inputs!$D$66:$D$71,0)))</f>
        <v>38451</v>
      </c>
      <c r="Y7" s="80">
        <f>IF(ISERROR(VLOOKUP(MONTH(Y5),Inputs!$D$66:$D$71,1,0)),"",INDEX(Inputs!$B$66:$B$71,MATCH(MONTH(Output!Y5),Inputs!$D$66:$D$71,0))-INDEX(Inputs!$C$66:$C$71,MATCH(MONTH(Output!Y5),Inputs!$D$66:$D$71,0)))</f>
        <v>60962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3000000</v>
      </c>
      <c r="AA9" s="75">
        <f>SUM(B9:M9)</f>
        <v>3000000</v>
      </c>
      <c r="AB9" s="75">
        <f>SUM(B9:Y9)</f>
        <v>3000000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133333.3333333333</v>
      </c>
      <c r="D10" s="37">
        <f>SUMPRODUCT((Calculations!$D$33:$D$84=Output!D5)+0,Calculations!$C$33:$C$84)</f>
        <v>133333.3333333333</v>
      </c>
      <c r="E10" s="37">
        <f>SUMPRODUCT((Calculations!$D$33:$D$84=Output!E5)+0,Calculations!$C$33:$C$84)</f>
        <v>133333.3333333333</v>
      </c>
      <c r="F10" s="37">
        <f>SUMPRODUCT((Calculations!$D$33:$D$84=Output!F5)+0,Calculations!$C$33:$C$84)</f>
        <v>133333.3333333333</v>
      </c>
      <c r="G10" s="37">
        <f>SUMPRODUCT((Calculations!$D$33:$D$84=Output!G5)+0,Calculations!$C$33:$C$84)</f>
        <v>133333.3333333333</v>
      </c>
      <c r="H10" s="37">
        <f>SUMPRODUCT((Calculations!$D$33:$D$84=Output!H5)+0,Calculations!$C$33:$C$84)</f>
        <v>133333.3333333333</v>
      </c>
      <c r="I10" s="37">
        <f>SUMPRODUCT((Calculations!$D$33:$D$84=Output!I5)+0,Calculations!$C$33:$C$84)</f>
        <v>133333.3333333333</v>
      </c>
      <c r="J10" s="37">
        <f>SUMPRODUCT((Calculations!$D$33:$D$84=Output!J5)+0,Calculations!$C$33:$C$84)</f>
        <v>133333.3333333333</v>
      </c>
      <c r="K10" s="37">
        <f>SUMPRODUCT((Calculations!$D$33:$D$84=Output!K5)+0,Calculations!$C$33:$C$84)</f>
        <v>133333.3333333333</v>
      </c>
      <c r="L10" s="37">
        <f>SUMPRODUCT((Calculations!$D$33:$D$84=Output!L5)+0,Calculations!$C$33:$C$84)</f>
        <v>133333.3333333333</v>
      </c>
      <c r="M10" s="37">
        <f>SUMPRODUCT((Calculations!$D$33:$D$84=Output!M5)+0,Calculations!$C$33:$C$84)</f>
        <v>133333.3333333333</v>
      </c>
      <c r="N10" s="37">
        <f>SUMPRODUCT((Calculations!$D$33:$D$84=Output!N5)+0,Calculations!$C$33:$C$84)</f>
        <v>133333.3333333333</v>
      </c>
      <c r="O10" s="37">
        <f>SUMPRODUCT((Calculations!$D$33:$D$84=Output!O5)+0,Calculations!$C$33:$C$84)</f>
        <v>133333.3333333333</v>
      </c>
      <c r="P10" s="37">
        <f>SUMPRODUCT((Calculations!$D$33:$D$84=Output!P5)+0,Calculations!$C$33:$C$84)</f>
        <v>133333.3333333333</v>
      </c>
      <c r="Q10" s="37">
        <f>SUMPRODUCT((Calculations!$D$33:$D$84=Output!Q5)+0,Calculations!$C$33:$C$84)</f>
        <v>133333.3333333333</v>
      </c>
      <c r="R10" s="37">
        <f>SUMPRODUCT((Calculations!$D$33:$D$84=Output!R5)+0,Calculations!$C$33:$C$84)</f>
        <v>133333.3333333333</v>
      </c>
      <c r="S10" s="37">
        <f>SUMPRODUCT((Calculations!$D$33:$D$84=Output!S5)+0,Calculations!$C$33:$C$84)</f>
        <v>133333.3333333333</v>
      </c>
      <c r="T10" s="37">
        <f>SUMPRODUCT((Calculations!$D$33:$D$84=Output!T5)+0,Calculations!$C$33:$C$84)</f>
        <v>133333.3333333333</v>
      </c>
      <c r="U10" s="37">
        <f>SUMPRODUCT((Calculations!$D$33:$D$84=Output!U5)+0,Calculations!$C$33:$C$84)</f>
        <v>133333.3333333333</v>
      </c>
      <c r="V10" s="37">
        <f>SUMPRODUCT((Calculations!$D$33:$D$84=Output!V5)+0,Calculations!$C$33:$C$84)</f>
        <v>133333.3333333333</v>
      </c>
      <c r="W10" s="37">
        <f>SUMPRODUCT((Calculations!$D$33:$D$84=Output!W5)+0,Calculations!$C$33:$C$84)</f>
        <v>133333.3333333333</v>
      </c>
      <c r="X10" s="37">
        <f>SUMPRODUCT((Calculations!$D$33:$D$84=Output!X5)+0,Calculations!$C$33:$C$84)</f>
        <v>133333.3333333333</v>
      </c>
      <c r="Y10" s="37">
        <f>SUMPRODUCT((Calculations!$D$33:$D$84=Output!Y5)+0,Calculations!$C$33:$C$84)</f>
        <v>133333.3333333333</v>
      </c>
      <c r="Z10" s="37">
        <f>SUMIF($B$13:$Y$13,"Yes",B10:Y10)</f>
        <v>3066666.666666667</v>
      </c>
      <c r="AA10" s="37">
        <f>SUM(B10:M10)</f>
        <v>1466666.666666666</v>
      </c>
      <c r="AB10" s="37">
        <f>SUM(B10:Y10)</f>
        <v>3066666.666666667</v>
      </c>
    </row>
    <row r="11" spans="1:30" customHeight="1" ht="15.75">
      <c r="A11" s="43" t="s">
        <v>31</v>
      </c>
      <c r="B11" s="80">
        <f>B6+B9-B10</f>
        <v>3065305.115293915</v>
      </c>
      <c r="C11" s="80">
        <f>C6+C9-C10</f>
        <v>-115565.9783764299</v>
      </c>
      <c r="D11" s="80">
        <f>D6+D9-D10</f>
        <v>-112656.9783764299</v>
      </c>
      <c r="E11" s="80">
        <f>E6+E9-E10</f>
        <v>-109556.9783764299</v>
      </c>
      <c r="F11" s="80">
        <f>F6+F9-F10</f>
        <v>-108656.9783764299</v>
      </c>
      <c r="G11" s="80">
        <f>G6+G9-G10</f>
        <v>-83515.85807783908</v>
      </c>
      <c r="H11" s="80">
        <f>H6+H9-H10</f>
        <v>-68028.21803941776</v>
      </c>
      <c r="I11" s="80">
        <f>I6+I9-I10</f>
        <v>-115565.9783764299</v>
      </c>
      <c r="J11" s="80">
        <f>J6+J9-J10</f>
        <v>-108656.9783764299</v>
      </c>
      <c r="K11" s="80">
        <f>K6+K9-K10</f>
        <v>-109556.9783764299</v>
      </c>
      <c r="L11" s="80">
        <f>L6+L9-L10</f>
        <v>-108656.9783764299</v>
      </c>
      <c r="M11" s="80">
        <f>M6+M9-M10</f>
        <v>-83515.85807783908</v>
      </c>
      <c r="N11" s="80">
        <f>N6+N9-N10</f>
        <v>-68028.21803941776</v>
      </c>
      <c r="O11" s="80">
        <f>O6+O9-O10</f>
        <v>-115565.9783764299</v>
      </c>
      <c r="P11" s="80">
        <f>P6+P9-P10</f>
        <v>-112656.9783764299</v>
      </c>
      <c r="Q11" s="80">
        <f>Q6+Q9-Q10</f>
        <v>-109556.9783764299</v>
      </c>
      <c r="R11" s="80">
        <f>R6+R9-R10</f>
        <v>-108656.9783764299</v>
      </c>
      <c r="S11" s="80">
        <f>S6+S9-S10</f>
        <v>-70688.70406482398</v>
      </c>
      <c r="T11" s="80">
        <f>T6+T9-T10</f>
        <v>63137.56829463865</v>
      </c>
      <c r="U11" s="80">
        <f>U6+U9-U10</f>
        <v>15599.80795762647</v>
      </c>
      <c r="V11" s="80">
        <f>V6+V9-V10</f>
        <v>22508.80795762647</v>
      </c>
      <c r="W11" s="80">
        <f>W6+W9-W10</f>
        <v>21608.80795762647</v>
      </c>
      <c r="X11" s="80">
        <f>X6+X9-X10</f>
        <v>22508.80795762647</v>
      </c>
      <c r="Y11" s="80">
        <f>Y6+Y9-Y10</f>
        <v>47649.92825621736</v>
      </c>
      <c r="Z11" s="85">
        <f>SUMIF($B$13:$Y$13,"Yes",B11:Y11)</f>
        <v>1549231.24685878</v>
      </c>
      <c r="AA11" s="80">
        <f>SUM(B11:M11)</f>
        <v>1941371.35408738</v>
      </c>
      <c r="AB11" s="46">
        <f>SUM(B11:Y11)</f>
        <v>1549231.24685878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0.04324690211465777</v>
      </c>
      <c r="D12" s="82">
        <f>IF(D13="Yes",IF(SUM($B$10:D10)/(SUM($B$6:D6)+SUM($B$9:D9))&lt;0,999.99,SUM($B$10:D10)/(SUM($B$6:D6)+SUM($B$9:D9))),"")</f>
        <v>0.08591760534901519</v>
      </c>
      <c r="E12" s="82">
        <f>IF(E13="Yes",IF(SUM($B$10:E10)/(SUM($B$6:E6)+SUM($B$9:E9))&lt;0,999.99,SUM($B$10:E10)/(SUM($B$6:E6)+SUM($B$9:E9))),"")</f>
        <v>0.127896652131493</v>
      </c>
      <c r="F12" s="82">
        <f>IF(F13="Yes",IF(SUM($B$10:F10)/(SUM($B$6:F6)+SUM($B$9:F9))&lt;0,999.99,SUM($B$10:F10)/(SUM($B$6:F6)+SUM($B$9:F9))),"")</f>
        <v>0.1691939196751807</v>
      </c>
      <c r="G12" s="82">
        <f>IF(G13="Yes",IF(SUM($B$10:G10)/(SUM($B$6:G6)+SUM($B$9:G9))&lt;0,999.99,SUM($B$10:G10)/(SUM($B$6:G6)+SUM($B$9:G9))),"")</f>
        <v>0.2082019702275814</v>
      </c>
      <c r="H12" s="82">
        <f>IF(H13="Yes",IF(SUM($B$10:H10)/(SUM($B$6:H6)+SUM($B$9:H9))&lt;0,999.99,SUM($B$10:H10)/(SUM($B$6:H6)+SUM($B$9:H9))),"")</f>
        <v>0.2448486802134212</v>
      </c>
      <c r="I12" s="82">
        <f>IF(I13="Yes",IF(SUM($B$10:I10)/(SUM($B$6:I6)+SUM($B$9:I9))&lt;0,999.99,SUM($B$10:I10)/(SUM($B$6:I6)+SUM($B$9:I9))),"")</f>
        <v>0.2841118242329604</v>
      </c>
      <c r="J12" s="82">
        <f>IF(J13="Yes",IF(SUM($B$10:J10)/(SUM($B$6:J6)+SUM($B$9:J9))&lt;0,999.99,SUM($B$10:J10)/(SUM($B$6:J6)+SUM($B$9:J9))),"")</f>
        <v>0.3222783952392284</v>
      </c>
      <c r="K12" s="82">
        <f>IF(K13="Yes",IF(SUM($B$10:K10)/(SUM($B$6:K6)+SUM($B$9:K9))&lt;0,999.99,SUM($B$10:K10)/(SUM($B$6:K6)+SUM($B$9:K9))),"")</f>
        <v>0.3599772288619393</v>
      </c>
      <c r="L12" s="82">
        <f>IF(L13="Yes",IF(SUM($B$10:L10)/(SUM($B$6:L6)+SUM($B$9:L9))&lt;0,999.99,SUM($B$10:L10)/(SUM($B$6:L6)+SUM($B$9:L9))),"")</f>
        <v>0.3970356667374238</v>
      </c>
      <c r="M12" s="82">
        <f>IF(M13="Yes",IF(SUM($B$10:M10)/(SUM($B$6:M6)+SUM($B$9:M9))&lt;0,999.99,SUM($B$10:M10)/(SUM($B$6:M6)+SUM($B$9:M9))),"")</f>
        <v>0.4303551362206218</v>
      </c>
      <c r="N12" s="82">
        <f>IF(N13="Yes",IF(SUM($B$10:N10)/(SUM($B$6:N6)+SUM($B$9:N9))&lt;0,999.99,SUM($B$10:N10)/(SUM($B$6:N6)+SUM($B$9:N9))),"")</f>
        <v>0.4606512910845056</v>
      </c>
      <c r="O12" s="82">
        <f>IF(O13="Yes",IF(SUM($B$10:O10)/(SUM($B$6:O6)+SUM($B$9:O9))&lt;0,999.99,SUM($B$10:O10)/(SUM($B$6:O6)+SUM($B$9:O9))),"")</f>
        <v>0.4964991333844658</v>
      </c>
      <c r="P12" s="82">
        <f>IF(P13="Yes",IF(SUM($B$10:P10)/(SUM($B$6:P6)+SUM($B$9:P9))&lt;0,999.99,SUM($B$10:P10)/(SUM($B$6:P6)+SUM($B$9:P9))),"")</f>
        <v>0.5315432708602916</v>
      </c>
      <c r="Q12" s="82">
        <f>IF(Q13="Yes",IF(SUM($B$10:Q10)/(SUM($B$6:Q6)+SUM($B$9:Q9))&lt;0,999.99,SUM($B$10:Q10)/(SUM($B$6:Q6)+SUM($B$9:Q9))),"")</f>
        <v>0.5656807377903253</v>
      </c>
      <c r="R12" s="82">
        <f>IF(R13="Yes",IF(SUM($B$10:R10)/(SUM($B$6:R6)+SUM($B$9:R9))&lt;0,999.99,SUM($B$10:R10)/(SUM($B$6:R6)+SUM($B$9:R9))),"")</f>
        <v>0.5992106148623132</v>
      </c>
      <c r="S12" s="82">
        <f>IF(S13="Yes",IF(SUM($B$10:S10)/(SUM($B$6:S6)+SUM($B$9:S9))&lt;0,999.99,SUM($B$10:S10)/(SUM($B$6:S6)+SUM($B$9:S9))),"")</f>
        <v>0.625652532852501</v>
      </c>
      <c r="T12" s="82">
        <f>IF(T13="Yes",IF(SUM($B$10:T10)/(SUM($B$6:T6)+SUM($B$9:T9))&lt;0,999.99,SUM($B$10:T10)/(SUM($B$6:T6)+SUM($B$9:T9))),"")</f>
        <v>0.6283783375659813</v>
      </c>
      <c r="U12" s="82">
        <f>IF(U13="Yes",IF(SUM($B$10:U10)/(SUM($B$6:U6)+SUM($B$9:U9))&lt;0,999.99,SUM($B$10:U10)/(SUM($B$6:U6)+SUM($B$9:U9))),"")</f>
        <v>0.6383944884391355</v>
      </c>
      <c r="V12" s="82">
        <f>IF(V13="Yes",IF(SUM($B$10:V10)/(SUM($B$6:V6)+SUM($B$9:V9))&lt;0,999.99,SUM($B$10:V10)/(SUM($B$6:V6)+SUM($B$9:V9))),"")</f>
        <v>0.6466009625889654</v>
      </c>
      <c r="W12" s="82">
        <f>IF(W13="Yes",IF(SUM($B$10:W10)/(SUM($B$6:W6)+SUM($B$9:W9))&lt;0,999.99,SUM($B$10:W10)/(SUM($B$6:W6)+SUM($B$9:W9))),"")</f>
        <v>0.6543474066014336</v>
      </c>
      <c r="X12" s="82">
        <f>IF(X13="Yes",IF(SUM($B$10:X10)/(SUM($B$6:X6)+SUM($B$9:X9))&lt;0,999.99,SUM($B$10:X10)/(SUM($B$6:X6)+SUM($B$9:X9))),"")</f>
        <v>0.6614182151290999</v>
      </c>
      <c r="Y12" s="82">
        <f>IF(Y13="Yes",IF(SUM($B$10:Y10)/(SUM($B$6:Y6)+SUM($B$9:Y9))&lt;0,999.99,SUM($B$10:Y10)/(SUM($B$6:Y6)+SUM($B$9:Y9))),"")</f>
        <v>0.6643705567405982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34100.76033701219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28417.30028084349</v>
      </c>
      <c r="H18" s="36">
        <f>T18</f>
        <v>34100.76033701219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28417.30028084349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34100.76033701219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28417.30028084349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34100.76033701219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28417.30028084349</v>
      </c>
      <c r="Z18" s="36">
        <f>SUMIF($B$13:$Y$13,"Yes",B18:Y18)</f>
        <v>250072.2424714227</v>
      </c>
      <c r="AA18" s="36">
        <f>SUM(B18:M18)</f>
        <v>125036.1212357114</v>
      </c>
      <c r="AB18" s="36">
        <f>SUM(B18:Y18)</f>
        <v>250072.2424714227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156000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173375</v>
      </c>
      <c r="C24" s="36">
        <f>IFERROR(Calculations!$P14/12,"")</f>
        <v>173375</v>
      </c>
      <c r="D24" s="36">
        <f>IFERROR(Calculations!$P14/12,"")</f>
        <v>173375</v>
      </c>
      <c r="E24" s="36">
        <f>IFERROR(Calculations!$P14/12,"")</f>
        <v>173375</v>
      </c>
      <c r="F24" s="36">
        <f>IFERROR(Calculations!$P14/12,"")</f>
        <v>173375</v>
      </c>
      <c r="G24" s="36">
        <f>IFERROR(Calculations!$P14/12,"")</f>
        <v>173375</v>
      </c>
      <c r="H24" s="36">
        <f>IFERROR(Calculations!$P14/12,"")</f>
        <v>173375</v>
      </c>
      <c r="I24" s="36">
        <f>IFERROR(Calculations!$P14/12,"")</f>
        <v>173375</v>
      </c>
      <c r="J24" s="36">
        <f>IFERROR(Calculations!$P14/12,"")</f>
        <v>173375</v>
      </c>
      <c r="K24" s="36">
        <f>IFERROR(Calculations!$P14/12,"")</f>
        <v>173375</v>
      </c>
      <c r="L24" s="36">
        <f>IFERROR(Calculations!$P14/12,"")</f>
        <v>173375</v>
      </c>
      <c r="M24" s="36">
        <f>IFERROR(Calculations!$P14/12,"")</f>
        <v>173375</v>
      </c>
      <c r="N24" s="36">
        <f>IFERROR(Calculations!$P14/12,"")</f>
        <v>173375</v>
      </c>
      <c r="O24" s="36">
        <f>IFERROR(Calculations!$P14/12,"")</f>
        <v>173375</v>
      </c>
      <c r="P24" s="36">
        <f>IFERROR(Calculations!$P14/12,"")</f>
        <v>173375</v>
      </c>
      <c r="Q24" s="36">
        <f>IFERROR(Calculations!$P14/12,"")</f>
        <v>173375</v>
      </c>
      <c r="R24" s="36">
        <f>IFERROR(Calculations!$P14/12,"")</f>
        <v>173375</v>
      </c>
      <c r="S24" s="36">
        <f>IFERROR(Calculations!$P14/12,"")</f>
        <v>173375</v>
      </c>
      <c r="T24" s="36">
        <f>IFERROR(Calculations!$P14/12,"")</f>
        <v>173375</v>
      </c>
      <c r="U24" s="36">
        <f>IFERROR(Calculations!$P14/12,"")</f>
        <v>173375</v>
      </c>
      <c r="V24" s="36">
        <f>IFERROR(Calculations!$P14/12,"")</f>
        <v>173375</v>
      </c>
      <c r="W24" s="36">
        <f>IFERROR(Calculations!$P14/12,"")</f>
        <v>173375</v>
      </c>
      <c r="X24" s="36">
        <f>IFERROR(Calculations!$P14/12,"")</f>
        <v>173375</v>
      </c>
      <c r="Y24" s="36">
        <f>IFERROR(Calculations!$P14/12,"")</f>
        <v>173375</v>
      </c>
      <c r="Z24" s="36">
        <f>SUMIF($B$13:$Y$13,"Yes",B24:Y24)</f>
        <v>4161000</v>
      </c>
      <c r="AA24" s="36">
        <f>SUM(B24:M24)</f>
        <v>2080500</v>
      </c>
      <c r="AB24" s="46">
        <f>SUM(B24:Y24)</f>
        <v>4161000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7187.5</v>
      </c>
      <c r="C25" s="36">
        <f>IFERROR(Calculations!$P15/12,"")</f>
        <v>7187.5</v>
      </c>
      <c r="D25" s="36">
        <f>IFERROR(Calculations!$P15/12,"")</f>
        <v>7187.5</v>
      </c>
      <c r="E25" s="36">
        <f>IFERROR(Calculations!$P15/12,"")</f>
        <v>7187.5</v>
      </c>
      <c r="F25" s="36">
        <f>IFERROR(Calculations!$P15/12,"")</f>
        <v>7187.5</v>
      </c>
      <c r="G25" s="36">
        <f>IFERROR(Calculations!$P15/12,"")</f>
        <v>7187.5</v>
      </c>
      <c r="H25" s="36">
        <f>IFERROR(Calculations!$P15/12,"")</f>
        <v>7187.5</v>
      </c>
      <c r="I25" s="36">
        <f>IFERROR(Calculations!$P15/12,"")</f>
        <v>7187.5</v>
      </c>
      <c r="J25" s="36">
        <f>IFERROR(Calculations!$P15/12,"")</f>
        <v>7187.5</v>
      </c>
      <c r="K25" s="36">
        <f>IFERROR(Calculations!$P15/12,"")</f>
        <v>7187.5</v>
      </c>
      <c r="L25" s="36">
        <f>IFERROR(Calculations!$P15/12,"")</f>
        <v>7187.5</v>
      </c>
      <c r="M25" s="36">
        <f>IFERROR(Calculations!$P15/12,"")</f>
        <v>7187.5</v>
      </c>
      <c r="N25" s="36">
        <f>IFERROR(Calculations!$P15/12,"")</f>
        <v>7187.5</v>
      </c>
      <c r="O25" s="36">
        <f>IFERROR(Calculations!$P15/12,"")</f>
        <v>7187.5</v>
      </c>
      <c r="P25" s="36">
        <f>IFERROR(Calculations!$P15/12,"")</f>
        <v>7187.5</v>
      </c>
      <c r="Q25" s="36">
        <f>IFERROR(Calculations!$P15/12,"")</f>
        <v>7187.5</v>
      </c>
      <c r="R25" s="36">
        <f>IFERROR(Calculations!$P15/12,"")</f>
        <v>7187.5</v>
      </c>
      <c r="S25" s="36">
        <f>IFERROR(Calculations!$P15/12,"")</f>
        <v>7187.5</v>
      </c>
      <c r="T25" s="36">
        <f>IFERROR(Calculations!$P15/12,"")</f>
        <v>7187.5</v>
      </c>
      <c r="U25" s="36">
        <f>IFERROR(Calculations!$P15/12,"")</f>
        <v>7187.5</v>
      </c>
      <c r="V25" s="36">
        <f>IFERROR(Calculations!$P15/12,"")</f>
        <v>7187.5</v>
      </c>
      <c r="W25" s="36">
        <f>IFERROR(Calculations!$P15/12,"")</f>
        <v>7187.5</v>
      </c>
      <c r="X25" s="36">
        <f>IFERROR(Calculations!$P15/12,"")</f>
        <v>7187.5</v>
      </c>
      <c r="Y25" s="36">
        <f>IFERROR(Calculations!$P15/12,"")</f>
        <v>7187.5</v>
      </c>
      <c r="Z25" s="36">
        <f>SUMIF($B$13:$Y$13,"Yes",B25:Y25)</f>
        <v>172500</v>
      </c>
      <c r="AA25" s="36">
        <f>SUM(B25:M25)</f>
        <v>86250</v>
      </c>
      <c r="AB25" s="46">
        <f>SUM(B25:Y25)</f>
        <v>172500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206330</v>
      </c>
      <c r="C29" s="37">
        <f>Inputs!$B$30</f>
        <v>206330</v>
      </c>
      <c r="D29" s="37">
        <f>Inputs!$B$30</f>
        <v>206330</v>
      </c>
      <c r="E29" s="37">
        <f>Inputs!$B$30</f>
        <v>206330</v>
      </c>
      <c r="F29" s="37">
        <f>Inputs!$B$30</f>
        <v>206330</v>
      </c>
      <c r="G29" s="37">
        <f>Inputs!$B$30</f>
        <v>206330</v>
      </c>
      <c r="H29" s="37">
        <f>Inputs!$B$30</f>
        <v>206330</v>
      </c>
      <c r="I29" s="37">
        <f>Inputs!$B$30</f>
        <v>206330</v>
      </c>
      <c r="J29" s="37">
        <f>Inputs!$B$30</f>
        <v>206330</v>
      </c>
      <c r="K29" s="37">
        <f>Inputs!$B$30</f>
        <v>206330</v>
      </c>
      <c r="L29" s="37">
        <f>Inputs!$B$30</f>
        <v>206330</v>
      </c>
      <c r="M29" s="37">
        <f>Inputs!$B$30</f>
        <v>206330</v>
      </c>
      <c r="N29" s="37">
        <f>Inputs!$B$30</f>
        <v>206330</v>
      </c>
      <c r="O29" s="37">
        <f>Inputs!$B$30</f>
        <v>206330</v>
      </c>
      <c r="P29" s="37">
        <f>Inputs!$B$30</f>
        <v>206330</v>
      </c>
      <c r="Q29" s="37">
        <f>Inputs!$B$30</f>
        <v>206330</v>
      </c>
      <c r="R29" s="37">
        <f>Inputs!$B$30</f>
        <v>206330</v>
      </c>
      <c r="S29" s="37">
        <f>Inputs!$B$30</f>
        <v>206330</v>
      </c>
      <c r="T29" s="37">
        <f>Inputs!$B$30</f>
        <v>206330</v>
      </c>
      <c r="U29" s="37">
        <f>Inputs!$B$30</f>
        <v>206330</v>
      </c>
      <c r="V29" s="37">
        <f>Inputs!$B$30</f>
        <v>206330</v>
      </c>
      <c r="W29" s="37">
        <f>Inputs!$B$30</f>
        <v>206330</v>
      </c>
      <c r="X29" s="37">
        <f>Inputs!$B$30</f>
        <v>206330</v>
      </c>
      <c r="Y29" s="37">
        <f>Inputs!$B$30</f>
        <v>206330</v>
      </c>
      <c r="Z29" s="37">
        <f>SUMIF($B$13:$Y$13,"Yes",B29:Y29)</f>
        <v>4951920</v>
      </c>
      <c r="AA29" s="37">
        <f>SUM(B29:M29)</f>
        <v>2475960</v>
      </c>
      <c r="AB29" s="37">
        <f>SUM(B29:Y29)</f>
        <v>4951920</v>
      </c>
    </row>
    <row r="30" spans="1:30" customHeight="1" ht="15.75">
      <c r="A30" s="1" t="s">
        <v>37</v>
      </c>
      <c r="B30" s="19">
        <f>SUM(B18:B29)</f>
        <v>420993.2603370122</v>
      </c>
      <c r="C30" s="19">
        <f>SUM(C18:C29)</f>
        <v>386892.5</v>
      </c>
      <c r="D30" s="19">
        <f>SUM(D18:D29)</f>
        <v>386892.5</v>
      </c>
      <c r="E30" s="19">
        <f>SUM(E18:E29)</f>
        <v>386892.5</v>
      </c>
      <c r="F30" s="19">
        <f>SUM(F18:F29)</f>
        <v>386892.5</v>
      </c>
      <c r="G30" s="19">
        <f>SUM(G18:G29)</f>
        <v>415309.8002808435</v>
      </c>
      <c r="H30" s="19">
        <f>SUM(H18:H29)</f>
        <v>420993.2603370122</v>
      </c>
      <c r="I30" s="19">
        <f>SUM(I18:I29)</f>
        <v>386892.5</v>
      </c>
      <c r="J30" s="19">
        <f>SUM(J18:J29)</f>
        <v>386892.5</v>
      </c>
      <c r="K30" s="19">
        <f>SUM(K18:K29)</f>
        <v>386892.5</v>
      </c>
      <c r="L30" s="19">
        <f>SUM(L18:L29)</f>
        <v>386892.5</v>
      </c>
      <c r="M30" s="19">
        <f>SUM(M18:M29)</f>
        <v>415309.8002808435</v>
      </c>
      <c r="N30" s="19">
        <f>SUM(N18:N29)</f>
        <v>420993.2603370122</v>
      </c>
      <c r="O30" s="19">
        <f>SUM(O18:O29)</f>
        <v>386892.5</v>
      </c>
      <c r="P30" s="19">
        <f>SUM(P18:P29)</f>
        <v>386892.5</v>
      </c>
      <c r="Q30" s="19">
        <f>SUM(Q18:Q29)</f>
        <v>386892.5</v>
      </c>
      <c r="R30" s="19">
        <f>SUM(R18:R29)</f>
        <v>386892.5</v>
      </c>
      <c r="S30" s="19">
        <f>SUM(S18:S29)</f>
        <v>415309.8002808435</v>
      </c>
      <c r="T30" s="19">
        <f>SUM(T18:T29)</f>
        <v>420993.2603370122</v>
      </c>
      <c r="U30" s="19">
        <f>SUM(U18:U29)</f>
        <v>386892.5</v>
      </c>
      <c r="V30" s="19">
        <f>SUM(V18:V29)</f>
        <v>386892.5</v>
      </c>
      <c r="W30" s="19">
        <f>SUM(W18:W29)</f>
        <v>386892.5</v>
      </c>
      <c r="X30" s="19">
        <f>SUM(X18:X29)</f>
        <v>386892.5</v>
      </c>
      <c r="Y30" s="19">
        <f>SUM(Y18:Y29)</f>
        <v>415309.8002808435</v>
      </c>
      <c r="Z30" s="19">
        <f>SUMIF($B$13:$Y$13,"Yes",B30:Y30)</f>
        <v>9535492.242471423</v>
      </c>
      <c r="AA30" s="19">
        <f>SUM(B30:M30)</f>
        <v>4767746.121235712</v>
      </c>
      <c r="AB30" s="19">
        <f>SUM(B30:Y30)</f>
        <v>9535492.242471423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6000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6000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6000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6000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32000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6000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6000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6000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6000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24000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4000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4000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909.0000000000002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909.0000000000002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909.0000000000002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909.0000000000002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3636.000000000001</v>
      </c>
      <c r="AA42" s="36">
        <f>SUM(B42:M42)</f>
        <v>1818</v>
      </c>
      <c r="AB42" s="36">
        <f>SUM(B42:Y42)</f>
        <v>3636.000000000001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909.0000000000002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909.0000000000002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909.0000000000002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909.0000000000002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3636.000000000001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900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900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900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900</v>
      </c>
      <c r="X48" s="46">
        <f>SUM(X49:X53)</f>
        <v>0</v>
      </c>
      <c r="Y48" s="46">
        <f>SUM(Y49:Y53)</f>
        <v>0</v>
      </c>
      <c r="Z48" s="46">
        <f>SUMIF($B$13:$Y$13,"Yes",B48:Y48)</f>
        <v>3600</v>
      </c>
      <c r="AA48" s="46">
        <f>SUM(B48:M48)</f>
        <v>1800</v>
      </c>
      <c r="AB48" s="46">
        <f>SUM(B48:Y48)</f>
        <v>3600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900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900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900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900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3600</v>
      </c>
      <c r="AA49" s="46">
        <f>SUM(B49:M49)</f>
        <v>1800</v>
      </c>
      <c r="AB49" s="46">
        <f>SUM(B49:Y49)</f>
        <v>3600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3276.179982252633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3276.179982252633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3276.179982252633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3276.179982252633</v>
      </c>
      <c r="Z54" s="46">
        <f>SUMIF($B$13:$Y$13,"Yes",B54:Y54)</f>
        <v>13104.71992901053</v>
      </c>
      <c r="AA54" s="46">
        <f>SUM(B54:M54)</f>
        <v>6552.359964505265</v>
      </c>
      <c r="AB54" s="46">
        <f>SUM(B54:Y54)</f>
        <v>13104.71992901053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3276.179982252633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3276.179982252633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3276.179982252633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3276.179982252633</v>
      </c>
      <c r="Z55" s="46">
        <f>SUMIF($B$13:$Y$13,"Yes",B55:Y55)</f>
        <v>13104.71992901053</v>
      </c>
      <c r="AA55" s="46">
        <f>SUM(B55:M55)</f>
        <v>6552.359964505265</v>
      </c>
      <c r="AB55" s="46">
        <f>SUM(B55:Y55)</f>
        <v>13104.71992901053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3000</v>
      </c>
      <c r="D60" s="36">
        <f>P60</f>
        <v>3000</v>
      </c>
      <c r="E60" s="36">
        <f>Q60</f>
        <v>3000</v>
      </c>
      <c r="F60" s="36">
        <f>R60</f>
        <v>3000</v>
      </c>
      <c r="G60" s="36">
        <f>S60</f>
        <v>3000</v>
      </c>
      <c r="H60" s="36">
        <f>T60</f>
        <v>0</v>
      </c>
      <c r="I60" s="36">
        <f>U60</f>
        <v>3000</v>
      </c>
      <c r="J60" s="36">
        <f>V60</f>
        <v>3000</v>
      </c>
      <c r="K60" s="36">
        <f>W60</f>
        <v>3000</v>
      </c>
      <c r="L60" s="36">
        <f>X60</f>
        <v>3000</v>
      </c>
      <c r="M60" s="36">
        <f>Y60</f>
        <v>3000</v>
      </c>
      <c r="N60" s="46">
        <f>SUM(N61:N65)</f>
        <v>0</v>
      </c>
      <c r="O60" s="46">
        <f>SUM(O61:O65)</f>
        <v>3000</v>
      </c>
      <c r="P60" s="46">
        <f>SUM(P61:P65)</f>
        <v>3000</v>
      </c>
      <c r="Q60" s="46">
        <f>SUM(Q61:Q65)</f>
        <v>3000</v>
      </c>
      <c r="R60" s="46">
        <f>SUM(R61:R65)</f>
        <v>3000</v>
      </c>
      <c r="S60" s="46">
        <f>SUM(S61:S65)</f>
        <v>3000</v>
      </c>
      <c r="T60" s="46">
        <f>SUM(T61:T65)</f>
        <v>0</v>
      </c>
      <c r="U60" s="46">
        <f>SUM(U61:U65)</f>
        <v>3000</v>
      </c>
      <c r="V60" s="46">
        <f>SUM(V61:V65)</f>
        <v>3000</v>
      </c>
      <c r="W60" s="46">
        <f>SUM(W61:W65)</f>
        <v>3000</v>
      </c>
      <c r="X60" s="46">
        <f>SUM(X61:X65)</f>
        <v>3000</v>
      </c>
      <c r="Y60" s="46">
        <f>SUM(Y61:Y65)</f>
        <v>3000</v>
      </c>
      <c r="Z60" s="46">
        <f>SUMIF($B$13:$Y$13,"Yes",B60:Y60)</f>
        <v>60000</v>
      </c>
      <c r="AA60" s="46">
        <f>SUM(B60:M60)</f>
        <v>30000</v>
      </c>
      <c r="AB60" s="46">
        <f>SUM(B60:Y60)</f>
        <v>60000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3000</v>
      </c>
      <c r="D61" s="36">
        <f>P61</f>
        <v>3000</v>
      </c>
      <c r="E61" s="36">
        <f>Q61</f>
        <v>3000</v>
      </c>
      <c r="F61" s="36">
        <f>R61</f>
        <v>3000</v>
      </c>
      <c r="G61" s="36">
        <f>S61</f>
        <v>3000</v>
      </c>
      <c r="H61" s="36">
        <f>T61</f>
        <v>0</v>
      </c>
      <c r="I61" s="36">
        <f>U61</f>
        <v>3000</v>
      </c>
      <c r="J61" s="36">
        <f>V61</f>
        <v>3000</v>
      </c>
      <c r="K61" s="36">
        <f>W61</f>
        <v>3000</v>
      </c>
      <c r="L61" s="36">
        <f>X61</f>
        <v>3000</v>
      </c>
      <c r="M61" s="36">
        <f>Y61</f>
        <v>3000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3000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3000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3000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3000</v>
      </c>
      <c r="Z61" s="46">
        <f>SUMIF($B$13:$Y$13,"Yes",B61:Y61)</f>
        <v>60000</v>
      </c>
      <c r="AA61" s="46">
        <f>SUM(B61:M61)</f>
        <v>30000</v>
      </c>
      <c r="AB61" s="46">
        <f>SUM(B61:Y61)</f>
        <v>60000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3528</v>
      </c>
      <c r="D66" s="36">
        <f>P66</f>
        <v>3528</v>
      </c>
      <c r="E66" s="36">
        <f>Q66</f>
        <v>3528</v>
      </c>
      <c r="F66" s="36">
        <f>R66</f>
        <v>3528</v>
      </c>
      <c r="G66" s="36">
        <f>S66</f>
        <v>3528</v>
      </c>
      <c r="H66" s="36">
        <f>T66</f>
        <v>0</v>
      </c>
      <c r="I66" s="36">
        <f>U66</f>
        <v>3528</v>
      </c>
      <c r="J66" s="36">
        <f>V66</f>
        <v>3528</v>
      </c>
      <c r="K66" s="36">
        <f>W66</f>
        <v>3528</v>
      </c>
      <c r="L66" s="36">
        <f>X66</f>
        <v>3528</v>
      </c>
      <c r="M66" s="36">
        <f>Y66</f>
        <v>3528</v>
      </c>
      <c r="N66" s="46">
        <f>SUM(N67:N71)</f>
        <v>0</v>
      </c>
      <c r="O66" s="46">
        <f>SUM(O67:O71)</f>
        <v>3528</v>
      </c>
      <c r="P66" s="46">
        <f>SUM(P67:P71)</f>
        <v>3528</v>
      </c>
      <c r="Q66" s="46">
        <f>SUM(Q67:Q71)</f>
        <v>3528</v>
      </c>
      <c r="R66" s="46">
        <f>SUM(R67:R71)</f>
        <v>3528</v>
      </c>
      <c r="S66" s="46">
        <f>SUM(S67:S71)</f>
        <v>3528</v>
      </c>
      <c r="T66" s="46">
        <f>SUM(T67:T71)</f>
        <v>0</v>
      </c>
      <c r="U66" s="46">
        <f>SUM(U67:U71)</f>
        <v>3528</v>
      </c>
      <c r="V66" s="46">
        <f>SUM(V67:V71)</f>
        <v>3528</v>
      </c>
      <c r="W66" s="46">
        <f>SUM(W67:W71)</f>
        <v>3528</v>
      </c>
      <c r="X66" s="46">
        <f>SUM(X67:X71)</f>
        <v>3528</v>
      </c>
      <c r="Y66" s="46">
        <f>SUM(Y67:Y71)</f>
        <v>3528</v>
      </c>
      <c r="Z66" s="46">
        <f>SUMIF($B$13:$Y$13,"Yes",B66:Y66)</f>
        <v>70560</v>
      </c>
      <c r="AA66" s="46">
        <f>SUM(B66:M66)</f>
        <v>35280</v>
      </c>
      <c r="AB66" s="46">
        <f>SUM(B66:Y66)</f>
        <v>70560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3528</v>
      </c>
      <c r="D67" s="36">
        <f>P67</f>
        <v>3528</v>
      </c>
      <c r="E67" s="36">
        <f>Q67</f>
        <v>3528</v>
      </c>
      <c r="F67" s="36">
        <f>R67</f>
        <v>3528</v>
      </c>
      <c r="G67" s="36">
        <f>S67</f>
        <v>3528</v>
      </c>
      <c r="H67" s="36">
        <f>T67</f>
        <v>0</v>
      </c>
      <c r="I67" s="36">
        <f>U67</f>
        <v>3528</v>
      </c>
      <c r="J67" s="36">
        <f>V67</f>
        <v>3528</v>
      </c>
      <c r="K67" s="36">
        <f>W67</f>
        <v>3528</v>
      </c>
      <c r="L67" s="36">
        <f>X67</f>
        <v>3528</v>
      </c>
      <c r="M67" s="36">
        <f>Y67</f>
        <v>3528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3528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3528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3528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3528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3528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3528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3528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3528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3528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3528</v>
      </c>
      <c r="Z67" s="46">
        <f>SUMIF($B$13:$Y$13,"Yes",B67:Y67)</f>
        <v>70560</v>
      </c>
      <c r="AA67" s="46">
        <f>SUM(B67:M67)</f>
        <v>35280</v>
      </c>
      <c r="AB67" s="46">
        <f>SUM(B67:Y67)</f>
        <v>70560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19770.83333333333</v>
      </c>
      <c r="C74" s="46">
        <f>SUM(Calculations!$Q$14:$Q$16)/12</f>
        <v>19770.83333333333</v>
      </c>
      <c r="D74" s="46">
        <f>SUM(Calculations!$Q$14:$Q$16)/12</f>
        <v>19770.83333333333</v>
      </c>
      <c r="E74" s="46">
        <f>SUM(Calculations!$Q$14:$Q$16)/12</f>
        <v>19770.83333333333</v>
      </c>
      <c r="F74" s="46">
        <f>SUM(Calculations!$Q$14:$Q$16)/12</f>
        <v>19770.83333333333</v>
      </c>
      <c r="G74" s="46">
        <f>SUM(Calculations!$Q$14:$Q$16)/12</f>
        <v>19770.83333333333</v>
      </c>
      <c r="H74" s="46">
        <f>SUM(Calculations!$Q$14:$Q$16)/12</f>
        <v>19770.83333333333</v>
      </c>
      <c r="I74" s="46">
        <f>SUM(Calculations!$Q$14:$Q$16)/12</f>
        <v>19770.83333333333</v>
      </c>
      <c r="J74" s="46">
        <f>SUM(Calculations!$Q$14:$Q$16)/12</f>
        <v>19770.83333333333</v>
      </c>
      <c r="K74" s="46">
        <f>SUM(Calculations!$Q$14:$Q$16)/12</f>
        <v>19770.83333333333</v>
      </c>
      <c r="L74" s="46">
        <f>SUM(Calculations!$Q$14:$Q$16)/12</f>
        <v>19770.83333333333</v>
      </c>
      <c r="M74" s="46">
        <f>SUM(Calculations!$Q$14:$Q$16)/12</f>
        <v>19770.83333333333</v>
      </c>
      <c r="N74" s="46">
        <f>SUM(Calculations!$Q$14:$Q$16)/12</f>
        <v>19770.83333333333</v>
      </c>
      <c r="O74" s="46">
        <f>SUM(Calculations!$Q$14:$Q$16)/12</f>
        <v>19770.83333333333</v>
      </c>
      <c r="P74" s="46">
        <f>SUM(Calculations!$Q$14:$Q$16)/12</f>
        <v>19770.83333333333</v>
      </c>
      <c r="Q74" s="46">
        <f>SUM(Calculations!$Q$14:$Q$16)/12</f>
        <v>19770.83333333333</v>
      </c>
      <c r="R74" s="46">
        <f>SUM(Calculations!$Q$14:$Q$16)/12</f>
        <v>19770.83333333333</v>
      </c>
      <c r="S74" s="46">
        <f>SUM(Calculations!$Q$14:$Q$16)/12</f>
        <v>19770.83333333333</v>
      </c>
      <c r="T74" s="46">
        <f>SUM(Calculations!$Q$14:$Q$16)/12</f>
        <v>19770.83333333333</v>
      </c>
      <c r="U74" s="46">
        <f>SUM(Calculations!$Q$14:$Q$16)/12</f>
        <v>19770.83333333333</v>
      </c>
      <c r="V74" s="46">
        <f>SUM(Calculations!$Q$14:$Q$16)/12</f>
        <v>19770.83333333333</v>
      </c>
      <c r="W74" s="46">
        <f>SUM(Calculations!$Q$14:$Q$16)/12</f>
        <v>19770.83333333333</v>
      </c>
      <c r="X74" s="46">
        <f>SUM(Calculations!$Q$14:$Q$16)/12</f>
        <v>19770.83333333333</v>
      </c>
      <c r="Y74" s="46">
        <f>SUM(Calculations!$Q$14:$Q$16)/12</f>
        <v>19770.83333333333</v>
      </c>
      <c r="Z74" s="46">
        <f>SUMIF($B$13:$Y$13,"Yes",B74:Y74)</f>
        <v>474499.9999999998</v>
      </c>
      <c r="AA74" s="46">
        <f>SUM(B74:M74)</f>
        <v>237250</v>
      </c>
      <c r="AB74" s="46">
        <f>SUM(B74:Y74)</f>
        <v>474499.9999999998</v>
      </c>
    </row>
    <row r="75" spans="1:30">
      <c r="A75" s="16" t="s">
        <v>47</v>
      </c>
      <c r="B75" s="46">
        <f>SUM(Calculations!$R$14:$R$16)/12</f>
        <v>1333.333333333333</v>
      </c>
      <c r="C75" s="46">
        <f>SUM(Calculations!$R$14:$R$16)/12</f>
        <v>1333.333333333333</v>
      </c>
      <c r="D75" s="46">
        <f>SUM(Calculations!$R$14:$R$16)/12</f>
        <v>1333.333333333333</v>
      </c>
      <c r="E75" s="46">
        <f>SUM(Calculations!$R$14:$R$16)/12</f>
        <v>1333.333333333333</v>
      </c>
      <c r="F75" s="46">
        <f>SUM(Calculations!$R$14:$R$16)/12</f>
        <v>1333.333333333333</v>
      </c>
      <c r="G75" s="46">
        <f>SUM(Calculations!$R$14:$R$16)/12</f>
        <v>1333.333333333333</v>
      </c>
      <c r="H75" s="46">
        <f>SUM(Calculations!$R$14:$R$16)/12</f>
        <v>1333.333333333333</v>
      </c>
      <c r="I75" s="46">
        <f>SUM(Calculations!$R$14:$R$16)/12</f>
        <v>1333.333333333333</v>
      </c>
      <c r="J75" s="46">
        <f>SUM(Calculations!$R$14:$R$16)/12</f>
        <v>1333.333333333333</v>
      </c>
      <c r="K75" s="46">
        <f>SUM(Calculations!$R$14:$R$16)/12</f>
        <v>1333.333333333333</v>
      </c>
      <c r="L75" s="46">
        <f>SUM(Calculations!$R$14:$R$16)/12</f>
        <v>1333.333333333333</v>
      </c>
      <c r="M75" s="46">
        <f>SUM(Calculations!$R$14:$R$16)/12</f>
        <v>1333.333333333333</v>
      </c>
      <c r="N75" s="46">
        <f>SUM(Calculations!$R$14:$R$16)/12</f>
        <v>1333.333333333333</v>
      </c>
      <c r="O75" s="46">
        <f>SUM(Calculations!$R$14:$R$16)/12</f>
        <v>1333.333333333333</v>
      </c>
      <c r="P75" s="46">
        <f>SUM(Calculations!$R$14:$R$16)/12</f>
        <v>1333.333333333333</v>
      </c>
      <c r="Q75" s="46">
        <f>SUM(Calculations!$R$14:$R$16)/12</f>
        <v>1333.333333333333</v>
      </c>
      <c r="R75" s="46">
        <f>SUM(Calculations!$R$14:$R$16)/12</f>
        <v>1333.333333333333</v>
      </c>
      <c r="S75" s="46">
        <f>SUM(Calculations!$R$14:$R$16)/12</f>
        <v>1333.333333333333</v>
      </c>
      <c r="T75" s="46">
        <f>SUM(Calculations!$R$14:$R$16)/12</f>
        <v>1333.333333333333</v>
      </c>
      <c r="U75" s="46">
        <f>SUM(Calculations!$R$14:$R$16)/12</f>
        <v>1333.333333333333</v>
      </c>
      <c r="V75" s="46">
        <f>SUM(Calculations!$R$14:$R$16)/12</f>
        <v>1333.333333333333</v>
      </c>
      <c r="W75" s="46">
        <f>SUM(Calculations!$R$14:$R$16)/12</f>
        <v>1333.333333333333</v>
      </c>
      <c r="X75" s="46">
        <f>SUM(Calculations!$R$14:$R$16)/12</f>
        <v>1333.333333333333</v>
      </c>
      <c r="Y75" s="46">
        <f>SUM(Calculations!$R$14:$R$16)/12</f>
        <v>1333.333333333333</v>
      </c>
      <c r="Z75" s="46">
        <f>SUMIF($B$13:$Y$13,"Yes",B75:Y75)</f>
        <v>31999.99999999999</v>
      </c>
      <c r="AA75" s="46">
        <f>SUM(B75:M75)</f>
        <v>16000</v>
      </c>
      <c r="AB75" s="46">
        <f>SUM(B75:Y75)</f>
        <v>31999.99999999999</v>
      </c>
    </row>
    <row r="76" spans="1:30">
      <c r="A76" s="16" t="s">
        <v>48</v>
      </c>
      <c r="B76" s="46">
        <f>SUM(Calculations!$S$14:$S$16)/12</f>
        <v>6500</v>
      </c>
      <c r="C76" s="46">
        <f>SUM(Calculations!$S$14:$S$16)/12</f>
        <v>6500</v>
      </c>
      <c r="D76" s="46">
        <f>SUM(Calculations!$S$14:$S$16)/12</f>
        <v>6500</v>
      </c>
      <c r="E76" s="46">
        <f>SUM(Calculations!$S$14:$S$16)/12</f>
        <v>6500</v>
      </c>
      <c r="F76" s="46">
        <f>SUM(Calculations!$S$14:$S$16)/12</f>
        <v>6500</v>
      </c>
      <c r="G76" s="46">
        <f>SUM(Calculations!$S$14:$S$16)/12</f>
        <v>6500</v>
      </c>
      <c r="H76" s="46">
        <f>SUM(Calculations!$S$14:$S$16)/12</f>
        <v>6500</v>
      </c>
      <c r="I76" s="46">
        <f>SUM(Calculations!$S$14:$S$16)/12</f>
        <v>6500</v>
      </c>
      <c r="J76" s="46">
        <f>SUM(Calculations!$S$14:$S$16)/12</f>
        <v>6500</v>
      </c>
      <c r="K76" s="46">
        <f>SUM(Calculations!$S$14:$S$16)/12</f>
        <v>6500</v>
      </c>
      <c r="L76" s="46">
        <f>SUM(Calculations!$S$14:$S$16)/12</f>
        <v>6500</v>
      </c>
      <c r="M76" s="46">
        <f>SUM(Calculations!$S$14:$S$16)/12</f>
        <v>6500</v>
      </c>
      <c r="N76" s="46">
        <f>SUM(Calculations!$S$14:$S$16)/12</f>
        <v>6500</v>
      </c>
      <c r="O76" s="46">
        <f>SUM(Calculations!$S$14:$S$16)/12</f>
        <v>6500</v>
      </c>
      <c r="P76" s="46">
        <f>SUM(Calculations!$S$14:$S$16)/12</f>
        <v>6500</v>
      </c>
      <c r="Q76" s="46">
        <f>SUM(Calculations!$S$14:$S$16)/12</f>
        <v>6500</v>
      </c>
      <c r="R76" s="46">
        <f>SUM(Calculations!$S$14:$S$16)/12</f>
        <v>6500</v>
      </c>
      <c r="S76" s="46">
        <f>SUM(Calculations!$S$14:$S$16)/12</f>
        <v>6500</v>
      </c>
      <c r="T76" s="46">
        <f>SUM(Calculations!$S$14:$S$16)/12</f>
        <v>6500</v>
      </c>
      <c r="U76" s="46">
        <f>SUM(Calculations!$S$14:$S$16)/12</f>
        <v>6500</v>
      </c>
      <c r="V76" s="46">
        <f>SUM(Calculations!$S$14:$S$16)/12</f>
        <v>6500</v>
      </c>
      <c r="W76" s="46">
        <f>SUM(Calculations!$S$14:$S$16)/12</f>
        <v>6500</v>
      </c>
      <c r="X76" s="46">
        <f>SUM(Calculations!$S$14:$S$16)/12</f>
        <v>6500</v>
      </c>
      <c r="Y76" s="46">
        <f>SUM(Calculations!$S$14:$S$16)/12</f>
        <v>6500</v>
      </c>
      <c r="Z76" s="46">
        <f>SUMIF($B$13:$Y$13,"Yes",B76:Y76)</f>
        <v>156000</v>
      </c>
      <c r="AA76" s="46">
        <f>SUM(B76:M76)</f>
        <v>78000</v>
      </c>
      <c r="AB76" s="46">
        <f>SUM(B76:Y76)</f>
        <v>156000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70000</v>
      </c>
      <c r="C79" s="46">
        <f>Inputs!$B$31</f>
        <v>70000</v>
      </c>
      <c r="D79" s="46">
        <f>Inputs!$B$31</f>
        <v>70000</v>
      </c>
      <c r="E79" s="46">
        <f>Inputs!$B$31</f>
        <v>70000</v>
      </c>
      <c r="F79" s="46">
        <f>Inputs!$B$31</f>
        <v>70000</v>
      </c>
      <c r="G79" s="46">
        <f>Inputs!$B$31</f>
        <v>70000</v>
      </c>
      <c r="H79" s="46">
        <f>Inputs!$B$31</f>
        <v>70000</v>
      </c>
      <c r="I79" s="46">
        <f>Inputs!$B$31</f>
        <v>70000</v>
      </c>
      <c r="J79" s="46">
        <f>Inputs!$B$31</f>
        <v>70000</v>
      </c>
      <c r="K79" s="46">
        <f>Inputs!$B$31</f>
        <v>70000</v>
      </c>
      <c r="L79" s="46">
        <f>Inputs!$B$31</f>
        <v>70000</v>
      </c>
      <c r="M79" s="46">
        <f>Inputs!$B$31</f>
        <v>70000</v>
      </c>
      <c r="N79" s="46">
        <f>Inputs!$B$31</f>
        <v>70000</v>
      </c>
      <c r="O79" s="46">
        <f>Inputs!$B$31</f>
        <v>70000</v>
      </c>
      <c r="P79" s="46">
        <f>Inputs!$B$31</f>
        <v>70000</v>
      </c>
      <c r="Q79" s="46">
        <f>Inputs!$B$31</f>
        <v>70000</v>
      </c>
      <c r="R79" s="46">
        <f>Inputs!$B$31</f>
        <v>70000</v>
      </c>
      <c r="S79" s="46">
        <f>Inputs!$B$31</f>
        <v>70000</v>
      </c>
      <c r="T79" s="46">
        <f>Inputs!$B$31</f>
        <v>70000</v>
      </c>
      <c r="U79" s="46">
        <f>Inputs!$B$31</f>
        <v>70000</v>
      </c>
      <c r="V79" s="46">
        <f>Inputs!$B$31</f>
        <v>70000</v>
      </c>
      <c r="W79" s="46">
        <f>Inputs!$B$31</f>
        <v>70000</v>
      </c>
      <c r="X79" s="46">
        <f>Inputs!$B$31</f>
        <v>70000</v>
      </c>
      <c r="Y79" s="46">
        <f>Inputs!$B$31</f>
        <v>70000</v>
      </c>
      <c r="Z79" s="46">
        <f>SUMIF($B$13:$Y$13,"Yes",B79:Y79)</f>
        <v>1680000</v>
      </c>
      <c r="AA79" s="46">
        <f>SUM(B79:M79)</f>
        <v>840000</v>
      </c>
      <c r="AB79" s="46">
        <f>SUM(B79:Y79)</f>
        <v>1680000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116834.8587090402</v>
      </c>
      <c r="C81" s="46">
        <f>(SUM($AA$18:$AA$29)-SUM($AA$36,$AA$42,$AA$48,$AA$54,$AA$60,$AA$66,$AA$72:$AA$79))*Parameters!$B$37/12</f>
        <v>116834.8587090402</v>
      </c>
      <c r="D81" s="46">
        <f>(SUM($AA$18:$AA$29)-SUM($AA$36,$AA$42,$AA$48,$AA$54,$AA$60,$AA$66,$AA$72:$AA$79))*Parameters!$B$37/12</f>
        <v>116834.8587090402</v>
      </c>
      <c r="E81" s="46">
        <f>(SUM($AA$18:$AA$29)-SUM($AA$36,$AA$42,$AA$48,$AA$54,$AA$60,$AA$66,$AA$72:$AA$79))*Parameters!$B$37/12</f>
        <v>116834.8587090402</v>
      </c>
      <c r="F81" s="46">
        <f>(SUM($AA$18:$AA$29)-SUM($AA$36,$AA$42,$AA$48,$AA$54,$AA$60,$AA$66,$AA$72:$AA$79))*Parameters!$B$37/12</f>
        <v>116834.8587090402</v>
      </c>
      <c r="G81" s="46">
        <f>(SUM($AA$18:$AA$29)-SUM($AA$36,$AA$42,$AA$48,$AA$54,$AA$60,$AA$66,$AA$72:$AA$79))*Parameters!$B$37/12</f>
        <v>116834.8587090402</v>
      </c>
      <c r="H81" s="46">
        <f>(SUM($AA$18:$AA$29)-SUM($AA$36,$AA$42,$AA$48,$AA$54,$AA$60,$AA$66,$AA$72:$AA$79))*Parameters!$B$37/12</f>
        <v>116834.8587090402</v>
      </c>
      <c r="I81" s="46">
        <f>(SUM($AA$18:$AA$29)-SUM($AA$36,$AA$42,$AA$48,$AA$54,$AA$60,$AA$66,$AA$72:$AA$79))*Parameters!$B$37/12</f>
        <v>116834.8587090402</v>
      </c>
      <c r="J81" s="46">
        <f>(SUM($AA$18:$AA$29)-SUM($AA$36,$AA$42,$AA$48,$AA$54,$AA$60,$AA$66,$AA$72:$AA$79))*Parameters!$B$37/12</f>
        <v>116834.8587090402</v>
      </c>
      <c r="K81" s="46">
        <f>(SUM($AA$18:$AA$29)-SUM($AA$36,$AA$42,$AA$48,$AA$54,$AA$60,$AA$66,$AA$72:$AA$79))*Parameters!$B$37/12</f>
        <v>116834.8587090402</v>
      </c>
      <c r="L81" s="46">
        <f>(SUM($AA$18:$AA$29)-SUM($AA$36,$AA$42,$AA$48,$AA$54,$AA$60,$AA$66,$AA$72:$AA$79))*Parameters!$B$37/12</f>
        <v>116834.8587090402</v>
      </c>
      <c r="M81" s="46">
        <f>(SUM($AA$18:$AA$29)-SUM($AA$36,$AA$42,$AA$48,$AA$54,$AA$60,$AA$66,$AA$72:$AA$79))*Parameters!$B$37/12</f>
        <v>116834.8587090402</v>
      </c>
      <c r="N81" s="46">
        <f>(SUM($AA$18:$AA$29)-SUM($AA$36,$AA$42,$AA$48,$AA$54,$AA$60,$AA$66,$AA$72:$AA$79))*Parameters!$B$37/12</f>
        <v>116834.8587090402</v>
      </c>
      <c r="O81" s="46">
        <f>(SUM($AA$18:$AA$29)-SUM($AA$36,$AA$42,$AA$48,$AA$54,$AA$60,$AA$66,$AA$72:$AA$79))*Parameters!$B$37/12</f>
        <v>116834.8587090402</v>
      </c>
      <c r="P81" s="46">
        <f>(SUM($AA$18:$AA$29)-SUM($AA$36,$AA$42,$AA$48,$AA$54,$AA$60,$AA$66,$AA$72:$AA$79))*Parameters!$B$37/12</f>
        <v>116834.8587090402</v>
      </c>
      <c r="Q81" s="46">
        <f>(SUM($AA$18:$AA$29)-SUM($AA$36,$AA$42,$AA$48,$AA$54,$AA$60,$AA$66,$AA$72:$AA$79))*Parameters!$B$37/12</f>
        <v>116834.8587090402</v>
      </c>
      <c r="R81" s="46">
        <f>(SUM($AA$18:$AA$29)-SUM($AA$36,$AA$42,$AA$48,$AA$54,$AA$60,$AA$66,$AA$72:$AA$79))*Parameters!$B$37/12</f>
        <v>116834.8587090402</v>
      </c>
      <c r="S81" s="46">
        <f>(SUM($AA$18:$AA$29)-SUM($AA$36,$AA$42,$AA$48,$AA$54,$AA$60,$AA$66,$AA$72:$AA$79))*Parameters!$B$37/12</f>
        <v>116834.8587090402</v>
      </c>
      <c r="T81" s="46">
        <f>(SUM($AA$18:$AA$29)-SUM($AA$36,$AA$42,$AA$48,$AA$54,$AA$60,$AA$66,$AA$72:$AA$79))*Parameters!$B$37/12</f>
        <v>116834.8587090402</v>
      </c>
      <c r="U81" s="46">
        <f>(SUM($AA$18:$AA$29)-SUM($AA$36,$AA$42,$AA$48,$AA$54,$AA$60,$AA$66,$AA$72:$AA$79))*Parameters!$B$37/12</f>
        <v>116834.8587090402</v>
      </c>
      <c r="V81" s="46">
        <f>(SUM($AA$18:$AA$29)-SUM($AA$36,$AA$42,$AA$48,$AA$54,$AA$60,$AA$66,$AA$72:$AA$79))*Parameters!$B$37/12</f>
        <v>116834.8587090402</v>
      </c>
      <c r="W81" s="46">
        <f>(SUM($AA$18:$AA$29)-SUM($AA$36,$AA$42,$AA$48,$AA$54,$AA$60,$AA$66,$AA$72:$AA$79))*Parameters!$B$37/12</f>
        <v>116834.8587090402</v>
      </c>
      <c r="X81" s="46">
        <f>(SUM($AA$18:$AA$29)-SUM($AA$36,$AA$42,$AA$48,$AA$54,$AA$60,$AA$66,$AA$72:$AA$79))*Parameters!$B$37/12</f>
        <v>116834.8587090402</v>
      </c>
      <c r="Y81" s="46">
        <f>(SUM($AA$18:$AA$29)-SUM($AA$36,$AA$42,$AA$48,$AA$54,$AA$60,$AA$66,$AA$72:$AA$79))*Parameters!$B$37/12</f>
        <v>116834.8587090402</v>
      </c>
      <c r="Z81" s="46">
        <f>SUMIF($B$13:$Y$13,"Yes",B81:Y81)</f>
        <v>2804036.609016963</v>
      </c>
      <c r="AA81" s="46">
        <f>SUM(B81:M81)</f>
        <v>1402018.304508482</v>
      </c>
      <c r="AB81" s="46">
        <f>SUM(B81:Y81)</f>
        <v>2804036.609016963</v>
      </c>
    </row>
    <row r="82" spans="1:30">
      <c r="A82" s="16" t="s">
        <v>52</v>
      </c>
      <c r="B82" s="46">
        <f>SUM(B83:B87)</f>
        <v>141249.1196673898</v>
      </c>
      <c r="C82" s="46">
        <f>SUM(C83:C87)</f>
        <v>141249.1196673898</v>
      </c>
      <c r="D82" s="46">
        <f>SUM(D83:D87)</f>
        <v>141249.1196673898</v>
      </c>
      <c r="E82" s="46">
        <f>SUM(E83:E87)</f>
        <v>141249.1196673898</v>
      </c>
      <c r="F82" s="46">
        <f>SUM(F83:F87)</f>
        <v>141249.1196673898</v>
      </c>
      <c r="G82" s="46">
        <f>SUM(G83:G87)</f>
        <v>141249.1196673898</v>
      </c>
      <c r="H82" s="46">
        <f>SUM(H83:H87)</f>
        <v>141249.1196673898</v>
      </c>
      <c r="I82" s="46">
        <f>SUM(I83:I87)</f>
        <v>141249.1196673898</v>
      </c>
      <c r="J82" s="46">
        <f>SUM(J83:J87)</f>
        <v>141249.1196673898</v>
      </c>
      <c r="K82" s="46">
        <f>SUM(K83:K87)</f>
        <v>141249.1196673898</v>
      </c>
      <c r="L82" s="46">
        <f>SUM(L83:L87)</f>
        <v>141249.1196673898</v>
      </c>
      <c r="M82" s="46">
        <f>SUM(M83:M87)</f>
        <v>141249.1196673898</v>
      </c>
      <c r="N82" s="46">
        <f>SUM(N83:N87)</f>
        <v>141249.1196673898</v>
      </c>
      <c r="O82" s="46">
        <f>SUM(O83:O87)</f>
        <v>141249.1196673898</v>
      </c>
      <c r="P82" s="46">
        <f>SUM(P83:P87)</f>
        <v>141249.1196673898</v>
      </c>
      <c r="Q82" s="46">
        <f>SUM(Q83:Q87)</f>
        <v>141249.1196673898</v>
      </c>
      <c r="R82" s="46">
        <f>SUM(R83:R87)</f>
        <v>141249.1196673898</v>
      </c>
      <c r="S82" s="46">
        <f>SUM(S83:S87)</f>
        <v>128421.9656543746</v>
      </c>
      <c r="T82" s="46">
        <f>SUM(T83:T87)</f>
        <v>10083.33333333333</v>
      </c>
      <c r="U82" s="46">
        <f>SUM(U83:U87)</f>
        <v>10083.33333333333</v>
      </c>
      <c r="V82" s="46">
        <f>SUM(V83:V87)</f>
        <v>10083.33333333333</v>
      </c>
      <c r="W82" s="46">
        <f>SUM(W83:W87)</f>
        <v>10083.33333333333</v>
      </c>
      <c r="X82" s="46">
        <f>SUM(X83:X87)</f>
        <v>10083.33333333333</v>
      </c>
      <c r="Y82" s="46">
        <f>SUM(Y83:Y87)</f>
        <v>10083.33333333333</v>
      </c>
      <c r="Z82" s="46">
        <f>SUMIF($B$13:$Y$13,"Yes",B82:Y82)</f>
        <v>2590157.000000001</v>
      </c>
      <c r="AA82" s="46">
        <f>SUM(B82:M82)</f>
        <v>1694989.436008677</v>
      </c>
      <c r="AB82" s="46">
        <f>SUM(B82:Y82)</f>
        <v>2590157.000000001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131165.7863340564</v>
      </c>
      <c r="C83" s="46">
        <f>IF(Calculations!$E23&gt;COUNT(Output!$B$35:C$35),Calculations!$B23,IF(Calculations!$E23=COUNT(Output!$B$35:C$35),Inputs!$B56-Calculations!$C23*(Calculations!$E23-1)+Calculations!$D23,0))</f>
        <v>131165.7863340564</v>
      </c>
      <c r="D83" s="46">
        <f>IF(Calculations!$E23&gt;COUNT(Output!$B$35:D$35),Calculations!$B23,IF(Calculations!$E23=COUNT(Output!$B$35:D$35),Inputs!$B56-Calculations!$C23*(Calculations!$E23-1)+Calculations!$D23,0))</f>
        <v>131165.7863340564</v>
      </c>
      <c r="E83" s="46">
        <f>IF(Calculations!$E23&gt;COUNT(Output!$B$35:E$35),Calculations!$B23,IF(Calculations!$E23=COUNT(Output!$B$35:E$35),Inputs!$B56-Calculations!$C23*(Calculations!$E23-1)+Calculations!$D23,0))</f>
        <v>131165.7863340564</v>
      </c>
      <c r="F83" s="46">
        <f>IF(Calculations!$E23&gt;COUNT(Output!$B$35:F$35),Calculations!$B23,IF(Calculations!$E23=COUNT(Output!$B$35:F$35),Inputs!$B56-Calculations!$C23*(Calculations!$E23-1)+Calculations!$D23,0))</f>
        <v>131165.7863340564</v>
      </c>
      <c r="G83" s="46">
        <f>IF(Calculations!$E23&gt;COUNT(Output!$B$35:G$35),Calculations!$B23,IF(Calculations!$E23=COUNT(Output!$B$35:G$35),Inputs!$B56-Calculations!$C23*(Calculations!$E23-1)+Calculations!$D23,0))</f>
        <v>131165.7863340564</v>
      </c>
      <c r="H83" s="46">
        <f>IF(Calculations!$E23&gt;COUNT(Output!$B$35:H$35),Calculations!$B23,IF(Calculations!$E23=COUNT(Output!$B$35:H$35),Inputs!$B56-Calculations!$C23*(Calculations!$E23-1)+Calculations!$D23,0))</f>
        <v>131165.7863340564</v>
      </c>
      <c r="I83" s="46">
        <f>IF(Calculations!$E23&gt;COUNT(Output!$B$35:I$35),Calculations!$B23,IF(Calculations!$E23=COUNT(Output!$B$35:I$35),Inputs!$B56-Calculations!$C23*(Calculations!$E23-1)+Calculations!$D23,0))</f>
        <v>131165.7863340564</v>
      </c>
      <c r="J83" s="46">
        <f>IF(Calculations!$E23&gt;COUNT(Output!$B$35:J$35),Calculations!$B23,IF(Calculations!$E23=COUNT(Output!$B$35:J$35),Inputs!$B56-Calculations!$C23*(Calculations!$E23-1)+Calculations!$D23,0))</f>
        <v>131165.7863340564</v>
      </c>
      <c r="K83" s="46">
        <f>IF(Calculations!$E23&gt;COUNT(Output!$B$35:K$35),Calculations!$B23,IF(Calculations!$E23=COUNT(Output!$B$35:K$35),Inputs!$B56-Calculations!$C23*(Calculations!$E23-1)+Calculations!$D23,0))</f>
        <v>131165.7863340564</v>
      </c>
      <c r="L83" s="46">
        <f>IF(Calculations!$E23&gt;COUNT(Output!$B$35:L$35),Calculations!$B23,IF(Calculations!$E23=COUNT(Output!$B$35:L$35),Inputs!$B56-Calculations!$C23*(Calculations!$E23-1)+Calculations!$D23,0))</f>
        <v>131165.7863340564</v>
      </c>
      <c r="M83" s="46">
        <f>IF(Calculations!$E23&gt;COUNT(Output!$B$35:M$35),Calculations!$B23,IF(Calculations!$E23=COUNT(Output!$B$35:M$35),Inputs!$B56-Calculations!$C23*(Calculations!$E23-1)+Calculations!$D23,0))</f>
        <v>131165.7863340564</v>
      </c>
      <c r="N83" s="46">
        <f>IF(Calculations!$E23&gt;COUNT(Output!$B$35:N$35),Calculations!$B23,IF(Calculations!$E23=COUNT(Output!$B$35:N$35),Inputs!$B56-Calculations!$C23*(Calculations!$E23-1)+Calculations!$D23,0))</f>
        <v>131165.7863340564</v>
      </c>
      <c r="O83" s="46">
        <f>IF(Calculations!$E23&gt;COUNT(Output!$B$35:O$35),Calculations!$B23,IF(Calculations!$E23=COUNT(Output!$B$35:O$35),Inputs!$B56-Calculations!$C23*(Calculations!$E23-1)+Calculations!$D23,0))</f>
        <v>131165.7863340564</v>
      </c>
      <c r="P83" s="46">
        <f>IF(Calculations!$E23&gt;COUNT(Output!$B$35:P$35),Calculations!$B23,IF(Calculations!$E23=COUNT(Output!$B$35:P$35),Inputs!$B56-Calculations!$C23*(Calculations!$E23-1)+Calculations!$D23,0))</f>
        <v>131165.7863340564</v>
      </c>
      <c r="Q83" s="46">
        <f>IF(Calculations!$E23&gt;COUNT(Output!$B$35:Q$35),Calculations!$B23,IF(Calculations!$E23=COUNT(Output!$B$35:Q$35),Inputs!$B56-Calculations!$C23*(Calculations!$E23-1)+Calculations!$D23,0))</f>
        <v>131165.7863340564</v>
      </c>
      <c r="R83" s="46">
        <f>IF(Calculations!$E23&gt;COUNT(Output!$B$35:R$35),Calculations!$B23,IF(Calculations!$E23=COUNT(Output!$B$35:R$35),Inputs!$B56-Calculations!$C23*(Calculations!$E23-1)+Calculations!$D23,0))</f>
        <v>131165.7863340564</v>
      </c>
      <c r="S83" s="46">
        <f>IF(Calculations!$E23&gt;COUNT(Output!$B$35:S$35),Calculations!$B23,IF(Calculations!$E23=COUNT(Output!$B$35:S$35),Inputs!$B56-Calculations!$C23*(Calculations!$E23-1)+Calculations!$D23,0))</f>
        <v>118338.6323210413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2348157</v>
      </c>
      <c r="AA83" s="46">
        <f>SUM(B83:M83)</f>
        <v>1573989.436008677</v>
      </c>
      <c r="AB83" s="46">
        <f>SUM(B83:Y83)</f>
        <v>2348157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10083.33333333333</v>
      </c>
      <c r="C84" s="46">
        <f>IF(Calculations!$E24&gt;COUNT(Output!$B$35:C$35),Calculations!$B24,IF(Calculations!$E24=COUNT(Output!$B$35:C$35),Inputs!$B57-Calculations!$C24*(Calculations!$E24-1)+Calculations!$D24,0))</f>
        <v>10083.33333333333</v>
      </c>
      <c r="D84" s="46">
        <f>IF(Calculations!$E24&gt;COUNT(Output!$B$35:D$35),Calculations!$B24,IF(Calculations!$E24=COUNT(Output!$B$35:D$35),Inputs!$B57-Calculations!$C24*(Calculations!$E24-1)+Calculations!$D24,0))</f>
        <v>10083.33333333333</v>
      </c>
      <c r="E84" s="46">
        <f>IF(Calculations!$E24&gt;COUNT(Output!$B$35:E$35),Calculations!$B24,IF(Calculations!$E24=COUNT(Output!$B$35:E$35),Inputs!$B57-Calculations!$C24*(Calculations!$E24-1)+Calculations!$D24,0))</f>
        <v>10083.33333333333</v>
      </c>
      <c r="F84" s="46">
        <f>IF(Calculations!$E24&gt;COUNT(Output!$B$35:F$35),Calculations!$B24,IF(Calculations!$E24=COUNT(Output!$B$35:F$35),Inputs!$B57-Calculations!$C24*(Calculations!$E24-1)+Calculations!$D24,0))</f>
        <v>10083.33333333333</v>
      </c>
      <c r="G84" s="46">
        <f>IF(Calculations!$E24&gt;COUNT(Output!$B$35:G$35),Calculations!$B24,IF(Calculations!$E24=COUNT(Output!$B$35:G$35),Inputs!$B57-Calculations!$C24*(Calculations!$E24-1)+Calculations!$D24,0))</f>
        <v>10083.33333333333</v>
      </c>
      <c r="H84" s="46">
        <f>IF(Calculations!$E24&gt;COUNT(Output!$B$35:H$35),Calculations!$B24,IF(Calculations!$E24=COUNT(Output!$B$35:H$35),Inputs!$B57-Calculations!$C24*(Calculations!$E24-1)+Calculations!$D24,0))</f>
        <v>10083.33333333333</v>
      </c>
      <c r="I84" s="46">
        <f>IF(Calculations!$E24&gt;COUNT(Output!$B$35:I$35),Calculations!$B24,IF(Calculations!$E24=COUNT(Output!$B$35:I$35),Inputs!$B57-Calculations!$C24*(Calculations!$E24-1)+Calculations!$D24,0))</f>
        <v>10083.33333333333</v>
      </c>
      <c r="J84" s="46">
        <f>IF(Calculations!$E24&gt;COUNT(Output!$B$35:J$35),Calculations!$B24,IF(Calculations!$E24=COUNT(Output!$B$35:J$35),Inputs!$B57-Calculations!$C24*(Calculations!$E24-1)+Calculations!$D24,0))</f>
        <v>10083.33333333333</v>
      </c>
      <c r="K84" s="46">
        <f>IF(Calculations!$E24&gt;COUNT(Output!$B$35:K$35),Calculations!$B24,IF(Calculations!$E24=COUNT(Output!$B$35:K$35),Inputs!$B57-Calculations!$C24*(Calculations!$E24-1)+Calculations!$D24,0))</f>
        <v>10083.33333333333</v>
      </c>
      <c r="L84" s="46">
        <f>IF(Calculations!$E24&gt;COUNT(Output!$B$35:L$35),Calculations!$B24,IF(Calculations!$E24=COUNT(Output!$B$35:L$35),Inputs!$B57-Calculations!$C24*(Calculations!$E24-1)+Calculations!$D24,0))</f>
        <v>10083.33333333333</v>
      </c>
      <c r="M84" s="46">
        <f>IF(Calculations!$E24&gt;COUNT(Output!$B$35:M$35),Calculations!$B24,IF(Calculations!$E24=COUNT(Output!$B$35:M$35),Inputs!$B57-Calculations!$C24*(Calculations!$E24-1)+Calculations!$D24,0))</f>
        <v>10083.33333333333</v>
      </c>
      <c r="N84" s="46">
        <f>IF(Calculations!$E24&gt;COUNT(Output!$B$35:N$35),Calculations!$B24,IF(Calculations!$E24=COUNT(Output!$B$35:N$35),Inputs!$B57-Calculations!$C24*(Calculations!$E24-1)+Calculations!$D24,0))</f>
        <v>10083.33333333333</v>
      </c>
      <c r="O84" s="46">
        <f>IF(Calculations!$E24&gt;COUNT(Output!$B$35:O$35),Calculations!$B24,IF(Calculations!$E24=COUNT(Output!$B$35:O$35),Inputs!$B57-Calculations!$C24*(Calculations!$E24-1)+Calculations!$D24,0))</f>
        <v>10083.33333333333</v>
      </c>
      <c r="P84" s="46">
        <f>IF(Calculations!$E24&gt;COUNT(Output!$B$35:P$35),Calculations!$B24,IF(Calculations!$E24=COUNT(Output!$B$35:P$35),Inputs!$B57-Calculations!$C24*(Calculations!$E24-1)+Calculations!$D24,0))</f>
        <v>10083.33333333333</v>
      </c>
      <c r="Q84" s="46">
        <f>IF(Calculations!$E24&gt;COUNT(Output!$B$35:Q$35),Calculations!$B24,IF(Calculations!$E24=COUNT(Output!$B$35:Q$35),Inputs!$B57-Calculations!$C24*(Calculations!$E24-1)+Calculations!$D24,0))</f>
        <v>10083.33333333333</v>
      </c>
      <c r="R84" s="46">
        <f>IF(Calculations!$E24&gt;COUNT(Output!$B$35:R$35),Calculations!$B24,IF(Calculations!$E24=COUNT(Output!$B$35:R$35),Inputs!$B57-Calculations!$C24*(Calculations!$E24-1)+Calculations!$D24,0))</f>
        <v>10083.33333333333</v>
      </c>
      <c r="S84" s="46">
        <f>IF(Calculations!$E24&gt;COUNT(Output!$B$35:S$35),Calculations!$B24,IF(Calculations!$E24=COUNT(Output!$B$35:S$35),Inputs!$B57-Calculations!$C24*(Calculations!$E24-1)+Calculations!$D24,0))</f>
        <v>10083.33333333333</v>
      </c>
      <c r="T84" s="46">
        <f>IF(Calculations!$E24&gt;COUNT(Output!$B$35:T$35),Calculations!$B24,IF(Calculations!$E24=COUNT(Output!$B$35:T$35),Inputs!$B57-Calculations!$C24*(Calculations!$E24-1)+Calculations!$D24,0))</f>
        <v>10083.33333333333</v>
      </c>
      <c r="U84" s="46">
        <f>IF(Calculations!$E24&gt;COUNT(Output!$B$35:U$35),Calculations!$B24,IF(Calculations!$E24=COUNT(Output!$B$35:U$35),Inputs!$B57-Calculations!$C24*(Calculations!$E24-1)+Calculations!$D24,0))</f>
        <v>10083.33333333333</v>
      </c>
      <c r="V84" s="46">
        <f>IF(Calculations!$E24&gt;COUNT(Output!$B$35:V$35),Calculations!$B24,IF(Calculations!$E24=COUNT(Output!$B$35:V$35),Inputs!$B57-Calculations!$C24*(Calculations!$E24-1)+Calculations!$D24,0))</f>
        <v>10083.33333333333</v>
      </c>
      <c r="W84" s="46">
        <f>IF(Calculations!$E24&gt;COUNT(Output!$B$35:W$35),Calculations!$B24,IF(Calculations!$E24=COUNT(Output!$B$35:W$35),Inputs!$B57-Calculations!$C24*(Calculations!$E24-1)+Calculations!$D24,0))</f>
        <v>10083.33333333333</v>
      </c>
      <c r="X84" s="46">
        <f>IF(Calculations!$E24&gt;COUNT(Output!$B$35:X$35),Calculations!$B24,IF(Calculations!$E24=COUNT(Output!$B$35:X$35),Inputs!$B57-Calculations!$C24*(Calculations!$E24-1)+Calculations!$D24,0))</f>
        <v>10083.33333333333</v>
      </c>
      <c r="Y84" s="46">
        <f>IF(Calculations!$E24&gt;COUNT(Output!$B$35:Y$35),Calculations!$B24,IF(Calculations!$E24=COUNT(Output!$B$35:Y$35),Inputs!$B57-Calculations!$C24*(Calculations!$E24-1)+Calculations!$D24,0))</f>
        <v>10083.33333333333</v>
      </c>
      <c r="Z84" s="46">
        <f>SUMIF($B$13:$Y$13,"Yes",B84:Y84)</f>
        <v>242000.0000000001</v>
      </c>
      <c r="AA84" s="46">
        <f>SUM(B84:M84)</f>
        <v>121000</v>
      </c>
      <c r="AB84" s="46">
        <f>SUM(B84:Y84)</f>
        <v>242000.0000000001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355688.1450430966</v>
      </c>
      <c r="C88" s="19">
        <f>SUM(C72:C82,C66,C60,C54,C48,C42,C36)</f>
        <v>369125.1450430966</v>
      </c>
      <c r="D88" s="19">
        <f>SUM(D72:D82,D66,D60,D54,D48,D42,D36)</f>
        <v>366216.1450430966</v>
      </c>
      <c r="E88" s="19">
        <f>SUM(E72:E82,E66,E60,E54,E48,E42,E36)</f>
        <v>363116.1450430966</v>
      </c>
      <c r="F88" s="19">
        <f>SUM(F72:F82,F66,F60,F54,F48,F42,F36)</f>
        <v>362216.1450430966</v>
      </c>
      <c r="G88" s="19">
        <f>SUM(G72:G82,G66,G60,G54,G48,G42,G36)</f>
        <v>365492.3250253493</v>
      </c>
      <c r="H88" s="19">
        <f>SUM(H72:H82,H66,H60,H54,H48,H42,H36)</f>
        <v>355688.1450430966</v>
      </c>
      <c r="I88" s="19">
        <f>SUM(I72:I82,I66,I60,I54,I48,I42,I36)</f>
        <v>369125.1450430966</v>
      </c>
      <c r="J88" s="19">
        <f>SUM(J72:J82,J66,J60,J54,J48,J42,J36)</f>
        <v>362216.1450430966</v>
      </c>
      <c r="K88" s="19">
        <f>SUM(K72:K82,K66,K60,K54,K48,K42,K36)</f>
        <v>363116.1450430966</v>
      </c>
      <c r="L88" s="19">
        <f>SUM(L72:L82,L66,L60,L54,L48,L42,L36)</f>
        <v>362216.1450430966</v>
      </c>
      <c r="M88" s="19">
        <f>SUM(M72:M82,M66,M60,M54,M48,M42,M36)</f>
        <v>365492.3250253493</v>
      </c>
      <c r="N88" s="19">
        <f>SUM(N72:N82,N66,N60,N54,N48,N42,N36)</f>
        <v>355688.1450430966</v>
      </c>
      <c r="O88" s="19">
        <f>SUM(O72:O82,O66,O60,O54,O48,O42,O36)</f>
        <v>369125.1450430966</v>
      </c>
      <c r="P88" s="19">
        <f>SUM(P72:P82,P66,P60,P54,P48,P42,P36)</f>
        <v>366216.1450430966</v>
      </c>
      <c r="Q88" s="19">
        <f>SUM(Q72:Q82,Q66,Q60,Q54,Q48,Q42,Q36)</f>
        <v>363116.1450430966</v>
      </c>
      <c r="R88" s="19">
        <f>SUM(R72:R82,R66,R60,R54,R48,R42,R36)</f>
        <v>362216.1450430966</v>
      </c>
      <c r="S88" s="19">
        <f>SUM(S72:S82,S66,S60,S54,S48,S42,S36)</f>
        <v>352665.1710123342</v>
      </c>
      <c r="T88" s="19">
        <f>SUM(T72:T82,T66,T60,T54,T48,T42,T36)</f>
        <v>224522.3587090402</v>
      </c>
      <c r="U88" s="19">
        <f>SUM(U72:U82,U66,U60,U54,U48,U42,U36)</f>
        <v>237959.3587090402</v>
      </c>
      <c r="V88" s="19">
        <f>SUM(V72:V82,V66,V60,V54,V48,V42,V36)</f>
        <v>231050.3587090402</v>
      </c>
      <c r="W88" s="19">
        <f>SUM(W72:W82,W66,W60,W54,W48,W42,W36)</f>
        <v>231950.3587090402</v>
      </c>
      <c r="X88" s="19">
        <f>SUM(X72:X82,X66,X60,X54,X48,X42,X36)</f>
        <v>231050.3587090402</v>
      </c>
      <c r="Y88" s="19">
        <f>SUM(Y72:Y82,Y66,Y60,Y54,Y48,Y42,Y36)</f>
        <v>234326.5386912928</v>
      </c>
      <c r="Z88" s="19">
        <f>SUMIF($B$13:$Y$13,"Yes",B88:Y88)</f>
        <v>7919594.328945974</v>
      </c>
      <c r="AA88" s="19">
        <f>SUM(B88:M88)</f>
        <v>4359708.100481664</v>
      </c>
      <c r="AB88" s="19">
        <f>SUM(B88:Y88)</f>
        <v>7919594.328945974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65870</v>
      </c>
    </row>
    <row r="95" spans="1:30">
      <c r="A95" t="s">
        <v>61</v>
      </c>
      <c r="B95" s="36">
        <f>Inputs!B47</f>
        <v>650000</v>
      </c>
    </row>
    <row r="96" spans="1:30">
      <c r="A96" t="s">
        <v>62</v>
      </c>
      <c r="B96" s="36">
        <f>SUMPRODUCT(Inputs!C19:C21,Calculations!O14:O16)</f>
        <v>2640000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2625000</v>
      </c>
    </row>
    <row r="98" spans="1:30">
      <c r="A98" t="s">
        <v>64</v>
      </c>
      <c r="B98" s="36">
        <f>IF(Inputs!B44="Yes",Inputs!B45,0)</f>
        <v>9500000</v>
      </c>
    </row>
    <row r="99" spans="1:30">
      <c r="A99" t="s">
        <v>65</v>
      </c>
      <c r="B99" s="36">
        <f>Inputs!B46</f>
        <v>400000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15880870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2004682</v>
      </c>
    </row>
    <row r="106" spans="1:30" customHeight="1" ht="15.75">
      <c r="A106" s="18" t="s">
        <v>71</v>
      </c>
      <c r="B106" s="37">
        <f>Calculations!G35</f>
        <v>3000000</v>
      </c>
    </row>
    <row r="107" spans="1:30" customHeight="1" ht="15.75">
      <c r="A107" s="1" t="s">
        <v>72</v>
      </c>
      <c r="B107" s="19">
        <f>SUM(B104:B106)</f>
        <v>5004682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12</v>
      </c>
      <c r="D19" s="145">
        <v>8</v>
      </c>
      <c r="E19" s="20"/>
      <c r="F19" s="145" t="s">
        <v>92</v>
      </c>
      <c r="G19" s="20"/>
      <c r="H19" s="20"/>
      <c r="I19" s="145" t="s">
        <v>111</v>
      </c>
      <c r="J19" s="145">
        <v>5</v>
      </c>
      <c r="K19" s="145"/>
      <c r="L19" s="25"/>
    </row>
    <row r="20" spans="1:48">
      <c r="A20" s="143" t="s">
        <v>112</v>
      </c>
      <c r="B20" s="16"/>
      <c r="C20" s="143">
        <v>20</v>
      </c>
      <c r="D20" s="147"/>
      <c r="E20" s="16"/>
      <c r="F20" s="147" t="s">
        <v>92</v>
      </c>
      <c r="G20" s="16"/>
      <c r="H20" s="16"/>
      <c r="I20" s="147" t="s">
        <v>113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30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206330</v>
      </c>
    </row>
    <row r="31" spans="1:48">
      <c r="A31" s="5" t="s">
        <v>120</v>
      </c>
      <c r="B31" s="158">
        <v>70000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9500000</v>
      </c>
    </row>
    <row r="46" spans="1:48" customHeight="1" ht="30">
      <c r="A46" s="57" t="s">
        <v>134</v>
      </c>
      <c r="B46" s="161">
        <v>400000</v>
      </c>
    </row>
    <row r="47" spans="1:48" customHeight="1" ht="30">
      <c r="A47" s="57" t="s">
        <v>135</v>
      </c>
      <c r="B47" s="161">
        <v>650000</v>
      </c>
    </row>
    <row r="48" spans="1:48" customHeight="1" ht="30">
      <c r="A48" s="57" t="s">
        <v>136</v>
      </c>
      <c r="B48" s="161">
        <v>0</v>
      </c>
    </row>
    <row r="49" spans="1:48" customHeight="1" ht="30">
      <c r="A49" s="57" t="s">
        <v>137</v>
      </c>
      <c r="B49" s="161">
        <v>65870</v>
      </c>
    </row>
    <row r="50" spans="1:48">
      <c r="A50" s="43"/>
      <c r="B50" s="36"/>
    </row>
    <row r="51" spans="1:48">
      <c r="A51" s="58" t="s">
        <v>138</v>
      </c>
      <c r="B51" s="161">
        <v>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2707500</v>
      </c>
      <c r="B56" s="159">
        <v>1454682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>
        <v>550000</v>
      </c>
      <c r="B57" s="157">
        <v>550000</v>
      </c>
      <c r="C57" s="164" t="s">
        <v>149</v>
      </c>
      <c r="D57" s="165" t="s">
        <v>150</v>
      </c>
      <c r="E57" s="165" t="s">
        <v>92</v>
      </c>
      <c r="F57" s="165" t="s">
        <v>151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153</v>
      </c>
      <c r="C65" s="10" t="s">
        <v>154</v>
      </c>
    </row>
    <row r="66" spans="1:48">
      <c r="A66" s="142" t="s">
        <v>155</v>
      </c>
      <c r="B66" s="159">
        <v>320900</v>
      </c>
      <c r="C66" s="163">
        <v>368540</v>
      </c>
      <c r="D66" s="49">
        <f>INDEX(Parameters!$D$79:$D$90,MATCH(Inputs!A66,Parameters!$C$79:$C$90,0))</f>
        <v>3</v>
      </c>
    </row>
    <row r="67" spans="1:48">
      <c r="A67" s="143" t="s">
        <v>156</v>
      </c>
      <c r="B67" s="157">
        <v>1464226</v>
      </c>
      <c r="C67" s="165">
        <v>1403264</v>
      </c>
      <c r="D67" s="49">
        <f>INDEX(Parameters!$D$79:$D$90,MATCH(Inputs!A67,Parameters!$C$79:$C$90,0))</f>
        <v>2</v>
      </c>
    </row>
    <row r="68" spans="1:48">
      <c r="A68" s="143" t="s">
        <v>157</v>
      </c>
      <c r="B68" s="157">
        <v>1997640</v>
      </c>
      <c r="C68" s="165">
        <v>1959189</v>
      </c>
      <c r="D68" s="49">
        <f>INDEX(Parameters!$D$79:$D$90,MATCH(Inputs!A68,Parameters!$C$79:$C$90,0))</f>
        <v>1</v>
      </c>
    </row>
    <row r="69" spans="1:48">
      <c r="A69" s="143" t="s">
        <v>158</v>
      </c>
      <c r="B69" s="157">
        <v>1304263</v>
      </c>
      <c r="C69" s="165">
        <v>1321866</v>
      </c>
      <c r="D69" s="49">
        <f>INDEX(Parameters!$D$79:$D$90,MATCH(Inputs!A69,Parameters!$C$79:$C$90,0))</f>
        <v>12</v>
      </c>
    </row>
    <row r="70" spans="1:48">
      <c r="A70" s="143" t="s">
        <v>159</v>
      </c>
      <c r="B70" s="157">
        <v>2977664</v>
      </c>
      <c r="C70" s="165">
        <v>2802708</v>
      </c>
      <c r="D70" s="49">
        <f>INDEX(Parameters!$D$79:$D$90,MATCH(Inputs!A70,Parameters!$C$79:$C$90,0))</f>
        <v>11</v>
      </c>
    </row>
    <row r="71" spans="1:48">
      <c r="A71" s="144" t="s">
        <v>160</v>
      </c>
      <c r="B71" s="158">
        <v>1668540</v>
      </c>
      <c r="C71" s="167">
        <v>1543733</v>
      </c>
      <c r="D71" s="49">
        <f>INDEX(Parameters!$D$79:$D$90,MATCH(Inputs!A71,Parameters!$C$79:$C$90,0))</f>
        <v>10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4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3000000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36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2848.85215848055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113669.201123374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</v>
      </c>
      <c r="Z4" s="33">
        <f>IF(Inputs!I7=Parameters!$F$78,H4*INDEX(Parameters!$A$3:$AI$18,MATCH(Calculations!A4,Parameters!$A$3:$A$18,0),MATCH(Parameters!$Q$3,Parameters!$A$3:$AI$3,0)),0)</f>
        <v>15000</v>
      </c>
      <c r="AA4" s="33">
        <f>IFERROR(IF(Inputs!N7&gt;0,INDEX(Parameters!$A$3:$AI$17,MATCH(Calculations!A4,Parameters!$A$3:$A$17,0),MATCH(Parameters!$R$3,Parameters!$A$3:$AI$3,0)),0)*M4/S4,0)</f>
        <v>3276.179982252633</v>
      </c>
      <c r="AB4" s="33">
        <f>H4*IFERROR(INDEX(Parameters!$A$3:$AI$17,MATCH(Calculations!A4,Parameters!$A$3:$A$17,0),MATCH(Parameters!$O$3,Parameters!$A$3:$AI$3,0)),AVERAGE(Parameters!$O$4:$O$17))*(1-Inputs!$B$25/100)</f>
        <v>25200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43221</v>
      </c>
      <c r="C5" s="39">
        <f>IFERROR(DATE(YEAR(B5),MONTH(B5)+ROUND(T5/2,0),DAY(B5)),B5)</f>
        <v>43221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12000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12</v>
      </c>
      <c r="E14" s="16">
        <f>Inputs!D19</f>
        <v>8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2080500</v>
      </c>
      <c r="Q14" s="63">
        <f>IFERROR(D14*INDEX(Parameters!$A$22:$P$29,MATCH(Calculations!$A14,Parameters!$A$22:$A$29,0),MATCH(Parameters!$L$22,Parameters!$A$22:$P$22,0))*IF(Inputs!I19="Always",1,IF(Inputs!I19="Sometimes",0.5,0))*365,"")</f>
        <v>219000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72000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20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34.5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86250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4000</v>
      </c>
      <c r="S15" s="64">
        <f>IFERROR(D15*INDEX(Parameters!$A$22:$P$29,MATCH(Calculations!$A15,Parameters!$A$22:$A$29,0),MATCH(Parameters!$N$22,Parameters!$A$22:$P$22,0)),"")</f>
        <v>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2707500</v>
      </c>
      <c r="B23" s="75">
        <f>SUM(C23:D23)</f>
        <v>131165.7863340564</v>
      </c>
      <c r="C23" s="75">
        <f>IF(Inputs!B56&gt;0,(Inputs!A56-Inputs!B56)/(DATE(YEAR(Inputs!$B$76),MONTH(Inputs!$B$76),DAY(Inputs!$B$76))-DATE(YEAR(Inputs!C56),MONTH(Inputs!C56),DAY(Inputs!C56)))*30,0)</f>
        <v>81528.28633405639</v>
      </c>
      <c r="D23" s="75">
        <f>IF(Inputs!B56&gt;0,Inputs!A56*0.22/12,0)</f>
        <v>49637.5</v>
      </c>
      <c r="E23" s="75">
        <f>IFERROR(ROUNDUP(Inputs!B56/C23,0),0)</f>
        <v>18</v>
      </c>
    </row>
    <row r="24" spans="1:52">
      <c r="A24" s="46">
        <f>Inputs!A57</f>
        <v>550000</v>
      </c>
      <c r="B24" s="46">
        <f>SUM(C24:D24)</f>
        <v>10083.33333333333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10083.33333333333</v>
      </c>
      <c r="E24" s="46">
        <f>IFERROR(ROUNDUP(Inputs!B57/B24,0),0)</f>
        <v>55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43204</v>
      </c>
      <c r="C33" s="27">
        <f>IF(B33&lt;&gt;"",IF(COUNT($A$33:A33)&lt;=$G$39,0,$G$41)+IF(COUNT($A$33:A33)&lt;=$G$40,0,$G$42),0)</f>
        <v>133333.3333333333</v>
      </c>
      <c r="D33" s="170">
        <f>IFERROR(DATE(YEAR(B33),MONTH(B33),1)," ")</f>
        <v>43191</v>
      </c>
      <c r="F33" t="s">
        <v>166</v>
      </c>
      <c r="G33" s="128">
        <f>IF(Inputs!B79="","",DATE(YEAR(Inputs!B79),MONTH(Inputs!B79),DAY(Inputs!B79)))</f>
        <v>43173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43234</v>
      </c>
      <c r="C34" s="27">
        <f>IF(B34&lt;&gt;"",IF(COUNT($A$33:A34)&lt;=$G$39,0,$G$41)+IF(COUNT($A$33:A34)&lt;=$G$40,0,$G$42),0)</f>
        <v>133333.3333333333</v>
      </c>
      <c r="D34" s="170">
        <f>IFERROR(DATE(YEAR(B34),MONTH(B34),1)," ")</f>
        <v>43221</v>
      </c>
      <c r="F34" t="s">
        <v>167</v>
      </c>
      <c r="G34" s="128">
        <f>IF(Inputs!B80="","",DATE(YEAR(Inputs!B80),MONTH(Inputs!B80),DAY(Inputs!B80)))</f>
        <v>43204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43265</v>
      </c>
      <c r="C35" s="27">
        <f>IF(B35&lt;&gt;"",IF(COUNT($A$33:A35)&lt;=$G$39,0,$G$41)+IF(COUNT($A$33:A35)&lt;=$G$40,0,$G$42),0)</f>
        <v>133333.3333333333</v>
      </c>
      <c r="D35" s="170">
        <f>IFERROR(DATE(YEAR(B35),MONTH(B35),1)," ")</f>
        <v>43252</v>
      </c>
      <c r="F35" t="s">
        <v>169</v>
      </c>
      <c r="G35" s="27">
        <f>Inputs!B81</f>
        <v>3000000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43295</v>
      </c>
      <c r="C36" s="27">
        <f>IF(B36&lt;&gt;"",IF(COUNT($A$33:A36)&lt;=$G$39,0,$G$41)+IF(COUNT($A$33:A36)&lt;=$G$40,0,$G$42),0)</f>
        <v>133333.3333333333</v>
      </c>
      <c r="D36" s="170">
        <f>IFERROR(DATE(YEAR(B36),MONTH(B36),1)," ")</f>
        <v>43282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43326</v>
      </c>
      <c r="C37" s="27">
        <f>IF(B37&lt;&gt;"",IF(COUNT($A$33:A37)&lt;=$G$39,0,$G$41)+IF(COUNT($A$33:A37)&lt;=$G$40,0,$G$42),0)</f>
        <v>133333.3333333333</v>
      </c>
      <c r="D37" s="170">
        <f>IFERROR(DATE(YEAR(B37),MONTH(B37),1)," ")</f>
        <v>43313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43357</v>
      </c>
      <c r="C38" s="27">
        <f>IF(B38&lt;&gt;"",IF(COUNT($A$33:A38)&lt;=$G$39,0,$G$41)+IF(COUNT($A$33:A38)&lt;=$G$40,0,$G$42),0)</f>
        <v>133333.3333333333</v>
      </c>
      <c r="D38" s="170">
        <f>IFERROR(DATE(YEAR(B38),MONTH(B38),1)," ")</f>
        <v>43344</v>
      </c>
      <c r="F38" t="s">
        <v>232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43387</v>
      </c>
      <c r="C39" s="27">
        <f>IF(B39&lt;&gt;"",IF(COUNT($A$33:A39)&lt;=$G$39,0,$G$41)+IF(COUNT($A$33:A39)&lt;=$G$40,0,$G$42),0)</f>
        <v>133333.3333333333</v>
      </c>
      <c r="D39" s="170">
        <f>IFERROR(DATE(YEAR(B39),MONTH(B39),1)," ")</f>
        <v>43374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43418</v>
      </c>
      <c r="C40" s="27">
        <f>IF(B40&lt;&gt;"",IF(COUNT($A$33:A40)&lt;=$G$39,0,$G$41)+IF(COUNT($A$33:A40)&lt;=$G$40,0,$G$42),0)</f>
        <v>133333.3333333333</v>
      </c>
      <c r="D40" s="170">
        <f>IFERROR(DATE(YEAR(B40),MONTH(B40),1)," ")</f>
        <v>43405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43448</v>
      </c>
      <c r="C41" s="27">
        <f>IF(B41&lt;&gt;"",IF(COUNT($A$33:A41)&lt;=$G$39,0,$G$41)+IF(COUNT($A$33:A41)&lt;=$G$40,0,$G$42),0)</f>
        <v>133333.3333333333</v>
      </c>
      <c r="D41" s="170">
        <f>IFERROR(DATE(YEAR(B41),MONTH(B41),1)," ")</f>
        <v>43435</v>
      </c>
      <c r="F41" t="s">
        <v>233</v>
      </c>
      <c r="G41" s="73">
        <f>IFERROR(G35/(G38-G39),"")</f>
        <v>83333.33333333333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43479</v>
      </c>
      <c r="C42" s="27">
        <f>IF(B42&lt;&gt;"",IF(COUNT($A$33:A42)&lt;=$G$39,0,$G$41)+IF(COUNT($A$33:A42)&lt;=$G$40,0,$G$42),0)</f>
        <v>133333.3333333333</v>
      </c>
      <c r="D42" s="170">
        <f>IFERROR(DATE(YEAR(B42),MONTH(B42),1)," ")</f>
        <v>43466</v>
      </c>
      <c r="F42" t="s">
        <v>234</v>
      </c>
      <c r="G42" s="73">
        <f>IFERROR(G35*G36*IF(G37="Monthly",G38/12,IF(G37="Fortnightly",G38/(365/14),G38/(365/28)))/(G38-G40),"")</f>
        <v>50000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43510</v>
      </c>
      <c r="C43" s="27">
        <f>IF(B43&lt;&gt;"",IF(COUNT($A$33:A43)&lt;=$G$39,0,$G$41)+IF(COUNT($A$33:A43)&lt;=$G$40,0,$G$42),0)</f>
        <v>133333.3333333333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43538</v>
      </c>
      <c r="C44" s="27">
        <f>IF(B44&lt;&gt;"",IF(COUNT($A$33:A44)&lt;=$G$39,0,$G$41)+IF(COUNT($A$33:A44)&lt;=$G$40,0,$G$42),0)</f>
        <v>133333.3333333333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43569</v>
      </c>
      <c r="C45" s="27">
        <f>IF(B45&lt;&gt;"",IF(COUNT($A$33:A45)&lt;=$G$39,0,$G$41)+IF(COUNT($A$33:A45)&lt;=$G$40,0,$G$42),0)</f>
        <v>133333.3333333333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43599</v>
      </c>
      <c r="C46" s="27">
        <f>IF(B46&lt;&gt;"",IF(COUNT($A$33:A46)&lt;=$G$39,0,$G$41)+IF(COUNT($A$33:A46)&lt;=$G$40,0,$G$42),0)</f>
        <v>133333.3333333333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43630</v>
      </c>
      <c r="C47" s="27">
        <f>IF(B47&lt;&gt;"",IF(COUNT($A$33:A47)&lt;=$G$39,0,$G$41)+IF(COUNT($A$33:A47)&lt;=$G$40,0,$G$42),0)</f>
        <v>133333.3333333333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43660</v>
      </c>
      <c r="C48" s="27">
        <f>IF(B48&lt;&gt;"",IF(COUNT($A$33:A48)&lt;=$G$39,0,$G$41)+IF(COUNT($A$33:A48)&lt;=$G$40,0,$G$42),0)</f>
        <v>133333.3333333333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43691</v>
      </c>
      <c r="C49" s="27">
        <f>IF(B49&lt;&gt;"",IF(COUNT($A$33:A49)&lt;=$G$39,0,$G$41)+IF(COUNT($A$33:A49)&lt;=$G$40,0,$G$42),0)</f>
        <v>133333.3333333333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43722</v>
      </c>
      <c r="C50" s="27">
        <f>IF(B50&lt;&gt;"",IF(COUNT($A$33:A50)&lt;=$G$39,0,$G$41)+IF(COUNT($A$33:A50)&lt;=$G$40,0,$G$42),0)</f>
        <v>133333.3333333333</v>
      </c>
      <c r="D50" s="170">
        <f>IFERROR(DATE(YEAR(B50),MONTH(B50),1)," ")</f>
        <v>43709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43752</v>
      </c>
      <c r="C51" s="27">
        <f>IF(B51&lt;&gt;"",IF(COUNT($A$33:A51)&lt;=$G$39,0,$G$41)+IF(COUNT($A$33:A51)&lt;=$G$40,0,$G$42),0)</f>
        <v>133333.3333333333</v>
      </c>
      <c r="D51" s="170">
        <f>IFERROR(DATE(YEAR(B51),MONTH(B51),1)," ")</f>
        <v>43739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43783</v>
      </c>
      <c r="C52" s="27">
        <f>IF(B52&lt;&gt;"",IF(COUNT($A$33:A52)&lt;=$G$39,0,$G$41)+IF(COUNT($A$33:A52)&lt;=$G$40,0,$G$42),0)</f>
        <v>133333.3333333333</v>
      </c>
      <c r="D52" s="170">
        <f>IFERROR(DATE(YEAR(B52),MONTH(B52),1)," ")</f>
        <v>43770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43813</v>
      </c>
      <c r="C53" s="27">
        <f>IF(B53&lt;&gt;"",IF(COUNT($A$33:A53)&lt;=$G$39,0,$G$41)+IF(COUNT($A$33:A53)&lt;=$G$40,0,$G$42),0)</f>
        <v>133333.3333333333</v>
      </c>
      <c r="D53" s="170">
        <f>IFERROR(DATE(YEAR(B53),MONTH(B53),1)," ")</f>
        <v>43800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43844</v>
      </c>
      <c r="C54" s="27">
        <f>IF(B54&lt;&gt;"",IF(COUNT($A$33:A54)&lt;=$G$39,0,$G$41)+IF(COUNT($A$33:A54)&lt;=$G$40,0,$G$42),0)</f>
        <v>133333.3333333333</v>
      </c>
      <c r="D54" s="170">
        <f>IFERROR(DATE(YEAR(B54),MONTH(B54),1)," ")</f>
        <v>43831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43875</v>
      </c>
      <c r="C55" s="27">
        <f>IF(B55&lt;&gt;"",IF(COUNT($A$33:A55)&lt;=$G$39,0,$G$41)+IF(COUNT($A$33:A55)&lt;=$G$40,0,$G$42),0)</f>
        <v>133333.3333333333</v>
      </c>
      <c r="D55" s="170">
        <f>IFERROR(DATE(YEAR(B55),MONTH(B55),1)," ")</f>
        <v>43862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43904</v>
      </c>
      <c r="C56" s="27">
        <f>IF(B56&lt;&gt;"",IF(COUNT($A$33:A56)&lt;=$G$39,0,$G$41)+IF(COUNT($A$33:A56)&lt;=$G$40,0,$G$42),0)</f>
        <v>133333.3333333333</v>
      </c>
      <c r="D56" s="170">
        <f>IFERROR(DATE(YEAR(B56),MONTH(B56),1)," ")</f>
        <v>43891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43935</v>
      </c>
      <c r="C57" s="27">
        <f>IF(B57&lt;&gt;"",IF(COUNT($A$33:A57)&lt;=$G$39,0,$G$41)+IF(COUNT($A$33:A57)&lt;=$G$40,0,$G$42),0)</f>
        <v>133333.3333333333</v>
      </c>
      <c r="D57" s="170">
        <f>IFERROR(DATE(YEAR(B57),MONTH(B57),1)," ")</f>
        <v>43922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43965</v>
      </c>
      <c r="C58" s="27">
        <f>IF(B58&lt;&gt;"",IF(COUNT($A$33:A58)&lt;=$G$39,0,$G$41)+IF(COUNT($A$33:A58)&lt;=$G$40,0,$G$42),0)</f>
        <v>133333.3333333333</v>
      </c>
      <c r="D58" s="170">
        <f>IFERROR(DATE(YEAR(B58),MONTH(B58),1)," ")</f>
        <v>43952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43996</v>
      </c>
      <c r="C59" s="27">
        <f>IF(B59&lt;&gt;"",IF(COUNT($A$33:A59)&lt;=$G$39,0,$G$41)+IF(COUNT($A$33:A59)&lt;=$G$40,0,$G$42),0)</f>
        <v>133333.3333333333</v>
      </c>
      <c r="D59" s="170">
        <f>IFERROR(DATE(YEAR(B59),MONTH(B59),1)," ")</f>
        <v>43983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44026</v>
      </c>
      <c r="C60" s="27">
        <f>IF(B60&lt;&gt;"",IF(COUNT($A$33:A60)&lt;=$G$39,0,$G$41)+IF(COUNT($A$33:A60)&lt;=$G$40,0,$G$42),0)</f>
        <v>133333.3333333333</v>
      </c>
      <c r="D60" s="170">
        <f>IFERROR(DATE(YEAR(B60),MONTH(B60),1)," ")</f>
        <v>44013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44057</v>
      </c>
      <c r="C61" s="27">
        <f>IF(B61&lt;&gt;"",IF(COUNT($A$33:A61)&lt;=$G$39,0,$G$41)+IF(COUNT($A$33:A61)&lt;=$G$40,0,$G$42),0)</f>
        <v>133333.3333333333</v>
      </c>
      <c r="D61" s="170">
        <f>IFERROR(DATE(YEAR(B61),MONTH(B61),1)," ")</f>
        <v>44044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44088</v>
      </c>
      <c r="C62" s="27">
        <f>IF(B62&lt;&gt;"",IF(COUNT($A$33:A62)&lt;=$G$39,0,$G$41)+IF(COUNT($A$33:A62)&lt;=$G$40,0,$G$42),0)</f>
        <v>133333.3333333333</v>
      </c>
      <c r="D62" s="170">
        <f>IFERROR(DATE(YEAR(B62),MONTH(B62),1)," ")</f>
        <v>44075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44118</v>
      </c>
      <c r="C63" s="27">
        <f>IF(B63&lt;&gt;"",IF(COUNT($A$33:A63)&lt;=$G$39,0,$G$41)+IF(COUNT($A$33:A63)&lt;=$G$40,0,$G$42),0)</f>
        <v>133333.3333333333</v>
      </c>
      <c r="D63" s="170">
        <f>IFERROR(DATE(YEAR(B63),MONTH(B63),1)," ")</f>
        <v>44105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44149</v>
      </c>
      <c r="C64" s="27">
        <f>IF(B64&lt;&gt;"",IF(COUNT($A$33:A64)&lt;=$G$39,0,$G$41)+IF(COUNT($A$33:A64)&lt;=$G$40,0,$G$42),0)</f>
        <v>133333.3333333333</v>
      </c>
      <c r="D64" s="170">
        <f>IFERROR(DATE(YEAR(B64),MONTH(B64),1)," ")</f>
        <v>44136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44179</v>
      </c>
      <c r="C65" s="27">
        <f>IF(B65&lt;&gt;"",IF(COUNT($A$33:A65)&lt;=$G$39,0,$G$41)+IF(COUNT($A$33:A65)&lt;=$G$40,0,$G$42),0)</f>
        <v>133333.3333333333</v>
      </c>
      <c r="D65" s="170">
        <f>IFERROR(DATE(YEAR(B65),MONTH(B65),1)," ")</f>
        <v>44166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44210</v>
      </c>
      <c r="C66" s="27">
        <f>IF(B66&lt;&gt;"",IF(COUNT($A$33:A66)&lt;=$G$39,0,$G$41)+IF(COUNT($A$33:A66)&lt;=$G$40,0,$G$42),0)</f>
        <v>133333.3333333333</v>
      </c>
      <c r="D66" s="170">
        <f>IFERROR(DATE(YEAR(B66),MONTH(B66),1)," ")</f>
        <v>44197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44241</v>
      </c>
      <c r="C67" s="27">
        <f>IF(B67&lt;&gt;"",IF(COUNT($A$33:A67)&lt;=$G$39,0,$G$41)+IF(COUNT($A$33:A67)&lt;=$G$40,0,$G$42),0)</f>
        <v>133333.3333333333</v>
      </c>
      <c r="D67" s="170">
        <f>IFERROR(DATE(YEAR(B67),MONTH(B67),1)," ")</f>
        <v>44228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44269</v>
      </c>
      <c r="C68" s="27">
        <f>IF(B68&lt;&gt;"",IF(COUNT($A$33:A68)&lt;=$G$39,0,$G$41)+IF(COUNT($A$33:A68)&lt;=$G$40,0,$G$42),0)</f>
        <v>133333.3333333333</v>
      </c>
      <c r="D68" s="170">
        <f>IFERROR(DATE(YEAR(B68),MONTH(B68),1)," ")</f>
        <v>44256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207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302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302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112</v>
      </c>
      <c r="B28" s="71" t="s">
        <v>302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98</v>
      </c>
      <c r="B41" s="191" t="s">
        <v>317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112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319</v>
      </c>
      <c r="H52" s="12" t="s">
        <v>131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235</v>
      </c>
      <c r="E53" s="10" t="s">
        <v>194</v>
      </c>
      <c r="F53" s="10" t="s">
        <v>254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317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317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317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317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317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317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317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172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231</v>
      </c>
      <c r="J76" s="11" t="s">
        <v>353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317</v>
      </c>
      <c r="F77" s="12" t="s">
        <v>317</v>
      </c>
      <c r="G77" s="12" t="s">
        <v>355</v>
      </c>
      <c r="H77" s="12" t="s">
        <v>131</v>
      </c>
      <c r="I77" s="12" t="s">
        <v>356</v>
      </c>
      <c r="J77" s="136" t="s">
        <v>357</v>
      </c>
      <c r="K77" s="12" t="s">
        <v>317</v>
      </c>
      <c r="AJ77" s="12"/>
    </row>
    <row r="78" spans="1:36">
      <c r="A78" t="s">
        <v>317</v>
      </c>
      <c r="B78" s="176">
        <v>5</v>
      </c>
      <c r="C78" s="134" t="s">
        <v>358</v>
      </c>
      <c r="D78" s="133"/>
      <c r="E78" s="12" t="s">
        <v>359</v>
      </c>
      <c r="F78" s="12" t="s">
        <v>93</v>
      </c>
      <c r="G78" s="12" t="s">
        <v>113</v>
      </c>
      <c r="H78" s="12" t="s">
        <v>320</v>
      </c>
      <c r="I78" s="12" t="s">
        <v>360</v>
      </c>
      <c r="J78" s="70" t="s">
        <v>361</v>
      </c>
      <c r="K78" s="12" t="s">
        <v>317</v>
      </c>
      <c r="AJ78" s="12"/>
    </row>
    <row r="79" spans="1:36">
      <c r="B79" s="176">
        <v>10</v>
      </c>
      <c r="C79" s="12" t="s">
        <v>157</v>
      </c>
      <c r="D79" s="12">
        <v>1</v>
      </c>
      <c r="E79" s="12" t="s">
        <v>362</v>
      </c>
      <c r="F79" s="12" t="s">
        <v>363</v>
      </c>
      <c r="G79" s="12" t="s">
        <v>111</v>
      </c>
      <c r="I79" s="12" t="s">
        <v>172</v>
      </c>
      <c r="J79" s="70" t="s">
        <v>364</v>
      </c>
      <c r="K79" s="12" t="s">
        <v>317</v>
      </c>
      <c r="AJ79" s="12"/>
    </row>
    <row r="80" spans="1:36">
      <c r="B80" s="176">
        <v>20</v>
      </c>
      <c r="C80" s="12" t="s">
        <v>156</v>
      </c>
      <c r="D80" s="12">
        <f>D79+1</f>
        <v>2</v>
      </c>
      <c r="E80" s="12" t="s">
        <v>91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96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160</v>
      </c>
      <c r="D88" s="12">
        <f>D87+1</f>
        <v>10</v>
      </c>
    </row>
    <row r="89" spans="1:36">
      <c r="C89" s="12" t="s">
        <v>159</v>
      </c>
      <c r="D89" s="12">
        <f>D88+1</f>
        <v>11</v>
      </c>
    </row>
    <row r="90" spans="1:36">
      <c r="C90" s="12" t="s">
        <v>158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