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emister Courses\Earthquake resistant design of buildings\Workshop1\"/>
    </mc:Choice>
  </mc:AlternateContent>
  <xr:revisionPtr revIDLastSave="0" documentId="8_{70E6CDFE-E76B-400A-8019-9DE5E520D716}" xr6:coauthVersionLast="46" xr6:coauthVersionMax="46" xr10:uidLastSave="{00000000-0000-0000-0000-000000000000}"/>
  <bookViews>
    <workbookView xWindow="810" yWindow="-120" windowWidth="28110" windowHeight="16440" xr2:uid="{A2C9E54D-8AA0-465A-B897-2C395C37250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1" l="1"/>
  <c r="AB50" i="1" s="1"/>
  <c r="AB48" i="1"/>
  <c r="AB47" i="1"/>
  <c r="AB45" i="1"/>
  <c r="AB46" i="1" s="1"/>
  <c r="AB43" i="1"/>
  <c r="AB44" i="1" s="1"/>
  <c r="AB42" i="1"/>
  <c r="AB41" i="1"/>
  <c r="AB39" i="1"/>
  <c r="AB40" i="1" s="1"/>
  <c r="AB37" i="1"/>
  <c r="AB38" i="1" s="1"/>
  <c r="AB36" i="1"/>
  <c r="AB35" i="1"/>
  <c r="AB33" i="1"/>
  <c r="AB34" i="1" s="1"/>
  <c r="AB31" i="1"/>
  <c r="AB32" i="1" s="1"/>
  <c r="D30" i="1"/>
  <c r="C30" i="1"/>
  <c r="AB29" i="1"/>
  <c r="AB30" i="1" s="1"/>
  <c r="B28" i="1"/>
  <c r="AB27" i="1"/>
  <c r="AB28" i="1" s="1"/>
  <c r="AB25" i="1"/>
  <c r="AB26" i="1" s="1"/>
  <c r="AB23" i="1"/>
  <c r="AB24" i="1" s="1"/>
  <c r="AB21" i="1"/>
  <c r="AB22" i="1" s="1"/>
  <c r="B21" i="1"/>
  <c r="L19" i="1"/>
  <c r="D19" i="1"/>
  <c r="C19" i="1"/>
  <c r="AK18" i="1"/>
  <c r="AJ18" i="1"/>
  <c r="L18" i="1"/>
  <c r="N18" i="1" s="1"/>
  <c r="G18" i="1"/>
  <c r="F18" i="1"/>
  <c r="AK17" i="1"/>
  <c r="AJ17" i="1"/>
  <c r="V17" i="1"/>
  <c r="U17" i="1"/>
  <c r="N17" i="1"/>
  <c r="M17" i="1"/>
  <c r="L17" i="1"/>
  <c r="G17" i="1"/>
  <c r="F17" i="1"/>
  <c r="AK16" i="1"/>
  <c r="AJ16" i="1"/>
  <c r="U16" i="1"/>
  <c r="M16" i="1"/>
  <c r="L16" i="1"/>
  <c r="N16" i="1" s="1"/>
  <c r="G16" i="1"/>
  <c r="F16" i="1"/>
  <c r="AK15" i="1"/>
  <c r="AJ15" i="1"/>
  <c r="L15" i="1"/>
  <c r="N15" i="1" s="1"/>
  <c r="G15" i="1"/>
  <c r="F15" i="1"/>
  <c r="AK14" i="1"/>
  <c r="AJ14" i="1"/>
  <c r="M14" i="1"/>
  <c r="L14" i="1"/>
  <c r="N14" i="1" s="1"/>
  <c r="G14" i="1"/>
  <c r="F14" i="1"/>
  <c r="AK13" i="1"/>
  <c r="AJ13" i="1"/>
  <c r="L13" i="1"/>
  <c r="N13" i="1" s="1"/>
  <c r="G13" i="1"/>
  <c r="F13" i="1"/>
  <c r="AK12" i="1"/>
  <c r="AJ12" i="1"/>
  <c r="N12" i="1"/>
  <c r="V12" i="1" s="1"/>
  <c r="L12" i="1"/>
  <c r="M12" i="1" s="1"/>
  <c r="G12" i="1"/>
  <c r="F12" i="1"/>
  <c r="AK11" i="1"/>
  <c r="AJ11" i="1"/>
  <c r="N11" i="1"/>
  <c r="V11" i="1" s="1"/>
  <c r="M11" i="1"/>
  <c r="U11" i="1" s="1"/>
  <c r="L11" i="1"/>
  <c r="G11" i="1"/>
  <c r="F11" i="1"/>
  <c r="AK10" i="1"/>
  <c r="AJ10" i="1"/>
  <c r="M10" i="1"/>
  <c r="U10" i="1" s="1"/>
  <c r="L10" i="1"/>
  <c r="N10" i="1" s="1"/>
  <c r="G10" i="1"/>
  <c r="F10" i="1"/>
  <c r="AK9" i="1"/>
  <c r="AJ9" i="1"/>
  <c r="L9" i="1"/>
  <c r="N9" i="1" s="1"/>
  <c r="G9" i="1"/>
  <c r="F9" i="1"/>
  <c r="AK8" i="1"/>
  <c r="AJ8" i="1"/>
  <c r="M8" i="1"/>
  <c r="U8" i="1" s="1"/>
  <c r="L8" i="1"/>
  <c r="N8" i="1" s="1"/>
  <c r="G8" i="1"/>
  <c r="F8" i="1"/>
  <c r="AK7" i="1"/>
  <c r="AJ7" i="1"/>
  <c r="L7" i="1"/>
  <c r="N7" i="1" s="1"/>
  <c r="G7" i="1"/>
  <c r="F7" i="1"/>
  <c r="AK6" i="1"/>
  <c r="AJ6" i="1"/>
  <c r="U6" i="1"/>
  <c r="N6" i="1"/>
  <c r="M6" i="1"/>
  <c r="L6" i="1"/>
  <c r="G6" i="1"/>
  <c r="F6" i="1"/>
  <c r="AK5" i="1"/>
  <c r="AJ5" i="1"/>
  <c r="AB5" i="1"/>
  <c r="AB6" i="1" s="1"/>
  <c r="V5" i="1"/>
  <c r="N5" i="1"/>
  <c r="M5" i="1"/>
  <c r="L5" i="1"/>
  <c r="G5" i="1"/>
  <c r="F5" i="1"/>
  <c r="AK4" i="1"/>
  <c r="AJ4" i="1"/>
  <c r="AB4" i="1"/>
  <c r="Z21" i="1" s="1"/>
  <c r="Z22" i="1" s="1"/>
  <c r="U4" i="1"/>
  <c r="W4" i="1" s="1"/>
  <c r="N4" i="1"/>
  <c r="M4" i="1"/>
  <c r="L4" i="1"/>
  <c r="G4" i="1"/>
  <c r="G19" i="1" s="1"/>
  <c r="F4" i="1"/>
  <c r="F19" i="1" s="1"/>
  <c r="B23" i="1" s="1"/>
  <c r="V7" i="1" l="1"/>
  <c r="V9" i="1"/>
  <c r="V10" i="1"/>
  <c r="V14" i="1"/>
  <c r="V16" i="1"/>
  <c r="AB7" i="1"/>
  <c r="Z25" i="1"/>
  <c r="Z26" i="1" s="1"/>
  <c r="V8" i="1"/>
  <c r="V18" i="1"/>
  <c r="V13" i="1"/>
  <c r="B24" i="1"/>
  <c r="B33" i="1" s="1"/>
  <c r="B22" i="1"/>
  <c r="A33" i="1" s="1"/>
  <c r="U12" i="1"/>
  <c r="V15" i="1"/>
  <c r="U5" i="1"/>
  <c r="W5" i="1" s="1"/>
  <c r="W6" i="1" s="1"/>
  <c r="V6" i="1"/>
  <c r="M9" i="1"/>
  <c r="Z23" i="1"/>
  <c r="Z24" i="1" s="1"/>
  <c r="V4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M7" i="1"/>
  <c r="U14" i="1"/>
  <c r="M18" i="1"/>
  <c r="M15" i="1"/>
  <c r="M13" i="1"/>
  <c r="U7" i="1" l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U13" i="1"/>
  <c r="U9" i="1"/>
  <c r="U15" i="1"/>
  <c r="B25" i="1"/>
  <c r="B26" i="1" s="1"/>
  <c r="U18" i="1"/>
  <c r="AB8" i="1"/>
  <c r="Z27" i="1"/>
  <c r="Z28" i="1" s="1"/>
  <c r="B27" i="1" l="1"/>
  <c r="B29" i="1" s="1"/>
  <c r="D26" i="1"/>
  <c r="D27" i="1" s="1"/>
  <c r="D29" i="1" s="1"/>
  <c r="C26" i="1"/>
  <c r="C27" i="1" s="1"/>
  <c r="C29" i="1" s="1"/>
  <c r="AB9" i="1"/>
  <c r="Z29" i="1"/>
  <c r="Z30" i="1" s="1"/>
  <c r="AB10" i="1" l="1"/>
  <c r="Z31" i="1"/>
  <c r="Z32" i="1" s="1"/>
  <c r="P15" i="1"/>
  <c r="S15" i="1" s="1"/>
  <c r="P13" i="1"/>
  <c r="S13" i="1" s="1"/>
  <c r="P7" i="1"/>
  <c r="P11" i="1"/>
  <c r="P17" i="1"/>
  <c r="P4" i="1"/>
  <c r="P9" i="1"/>
  <c r="P5" i="1"/>
  <c r="P12" i="1"/>
  <c r="P16" i="1"/>
  <c r="S16" i="1" s="1"/>
  <c r="P8" i="1"/>
  <c r="S8" i="1" s="1"/>
  <c r="P6" i="1"/>
  <c r="S6" i="1" s="1"/>
  <c r="P18" i="1"/>
  <c r="S18" i="1" s="1"/>
  <c r="P10" i="1"/>
  <c r="S10" i="1" s="1"/>
  <c r="P14" i="1"/>
  <c r="H7" i="1"/>
  <c r="H8" i="1"/>
  <c r="H9" i="1"/>
  <c r="H10" i="1"/>
  <c r="H11" i="1"/>
  <c r="H5" i="1"/>
  <c r="H12" i="1"/>
  <c r="H15" i="1"/>
  <c r="H17" i="1"/>
  <c r="H13" i="1"/>
  <c r="H14" i="1"/>
  <c r="A34" i="1"/>
  <c r="H16" i="1"/>
  <c r="H4" i="1"/>
  <c r="H18" i="1"/>
  <c r="H6" i="1"/>
  <c r="B30" i="1"/>
  <c r="O6" i="1"/>
  <c r="R6" i="1" s="1"/>
  <c r="O12" i="1"/>
  <c r="O5" i="1"/>
  <c r="R5" i="1" s="1"/>
  <c r="O4" i="1"/>
  <c r="R4" i="1" s="1"/>
  <c r="O17" i="1"/>
  <c r="R17" i="1" s="1"/>
  <c r="O14" i="1"/>
  <c r="R14" i="1" s="1"/>
  <c r="O10" i="1"/>
  <c r="O11" i="1"/>
  <c r="O16" i="1"/>
  <c r="O8" i="1"/>
  <c r="O7" i="1"/>
  <c r="R7" i="1" s="1"/>
  <c r="O15" i="1"/>
  <c r="R15" i="1" s="1"/>
  <c r="O18" i="1"/>
  <c r="R18" i="1" s="1"/>
  <c r="O9" i="1"/>
  <c r="R9" i="1" s="1"/>
  <c r="O13" i="1"/>
  <c r="R12" i="1" l="1"/>
  <c r="Q14" i="1"/>
  <c r="I14" i="1"/>
  <c r="S12" i="1"/>
  <c r="I10" i="1"/>
  <c r="Q10" i="1"/>
  <c r="S9" i="1"/>
  <c r="R8" i="1"/>
  <c r="Q18" i="1"/>
  <c r="I18" i="1"/>
  <c r="T18" i="1" s="1"/>
  <c r="AA49" i="1" s="1"/>
  <c r="AA50" i="1" s="1"/>
  <c r="I9" i="1"/>
  <c r="T9" i="1" s="1"/>
  <c r="AA31" i="1" s="1"/>
  <c r="AA32" i="1" s="1"/>
  <c r="Q9" i="1"/>
  <c r="S4" i="1"/>
  <c r="I13" i="1"/>
  <c r="Q13" i="1"/>
  <c r="Q17" i="1"/>
  <c r="I17" i="1"/>
  <c r="T17" i="1" s="1"/>
  <c r="AA47" i="1" s="1"/>
  <c r="AA48" i="1" s="1"/>
  <c r="Q5" i="1"/>
  <c r="I5" i="1"/>
  <c r="S17" i="1"/>
  <c r="R13" i="1"/>
  <c r="Z33" i="1"/>
  <c r="Z34" i="1" s="1"/>
  <c r="AB11" i="1"/>
  <c r="Q12" i="1"/>
  <c r="I12" i="1"/>
  <c r="T12" i="1" s="1"/>
  <c r="AA37" i="1" s="1"/>
  <c r="AA38" i="1" s="1"/>
  <c r="J9" i="1"/>
  <c r="J17" i="1"/>
  <c r="J10" i="1"/>
  <c r="B34" i="1"/>
  <c r="J11" i="1"/>
  <c r="J12" i="1"/>
  <c r="J13" i="1"/>
  <c r="J14" i="1"/>
  <c r="J15" i="1"/>
  <c r="J16" i="1"/>
  <c r="J4" i="1"/>
  <c r="K4" i="1" s="1"/>
  <c r="J5" i="1"/>
  <c r="J18" i="1"/>
  <c r="J6" i="1"/>
  <c r="J7" i="1"/>
  <c r="J8" i="1"/>
  <c r="I11" i="1"/>
  <c r="Q11" i="1"/>
  <c r="Q6" i="1"/>
  <c r="I6" i="1"/>
  <c r="T6" i="1" s="1"/>
  <c r="AA25" i="1" s="1"/>
  <c r="AA26" i="1" s="1"/>
  <c r="Q4" i="1"/>
  <c r="I4" i="1"/>
  <c r="T4" i="1" s="1"/>
  <c r="AA21" i="1" s="1"/>
  <c r="AA22" i="1" s="1"/>
  <c r="Q16" i="1"/>
  <c r="I16" i="1"/>
  <c r="T16" i="1" s="1"/>
  <c r="AA45" i="1" s="1"/>
  <c r="AA46" i="1" s="1"/>
  <c r="Q7" i="1"/>
  <c r="I7" i="1"/>
  <c r="S11" i="1"/>
  <c r="I15" i="1"/>
  <c r="T15" i="1" s="1"/>
  <c r="AA43" i="1" s="1"/>
  <c r="AA44" i="1" s="1"/>
  <c r="Q15" i="1"/>
  <c r="S5" i="1"/>
  <c r="R16" i="1"/>
  <c r="I8" i="1"/>
  <c r="T8" i="1" s="1"/>
  <c r="AA29" i="1" s="1"/>
  <c r="AA30" i="1" s="1"/>
  <c r="Q8" i="1"/>
  <c r="R11" i="1"/>
  <c r="R10" i="1"/>
  <c r="S14" i="1"/>
  <c r="S7" i="1"/>
  <c r="Y4" i="1" l="1"/>
  <c r="Y21" i="1" s="1"/>
  <c r="Y22" i="1" s="1"/>
  <c r="K5" i="1"/>
  <c r="Z35" i="1"/>
  <c r="Z36" i="1" s="1"/>
  <c r="AB12" i="1"/>
  <c r="T11" i="1"/>
  <c r="AA35" i="1" s="1"/>
  <c r="AA36" i="1" s="1"/>
  <c r="T5" i="1"/>
  <c r="AA23" i="1" s="1"/>
  <c r="AA24" i="1" s="1"/>
  <c r="T10" i="1"/>
  <c r="AA33" i="1" s="1"/>
  <c r="AA34" i="1" s="1"/>
  <c r="T7" i="1"/>
  <c r="AA27" i="1" s="1"/>
  <c r="AA28" i="1" s="1"/>
  <c r="T14" i="1"/>
  <c r="AA41" i="1" s="1"/>
  <c r="AA42" i="1" s="1"/>
  <c r="T13" i="1"/>
  <c r="AA39" i="1" s="1"/>
  <c r="AA40" i="1" s="1"/>
  <c r="AB13" i="1" l="1"/>
  <c r="Z37" i="1"/>
  <c r="Z38" i="1" s="1"/>
  <c r="K6" i="1"/>
  <c r="Y5" i="1"/>
  <c r="Y23" i="1" s="1"/>
  <c r="Y24" i="1" s="1"/>
  <c r="AB14" i="1" l="1"/>
  <c r="Z39" i="1"/>
  <c r="Z40" i="1" s="1"/>
  <c r="Y6" i="1"/>
  <c r="Y25" i="1" s="1"/>
  <c r="Y26" i="1" s="1"/>
  <c r="K7" i="1"/>
  <c r="Z41" i="1" l="1"/>
  <c r="Z42" i="1" s="1"/>
  <c r="AB15" i="1"/>
  <c r="K8" i="1"/>
  <c r="Y7" i="1"/>
  <c r="Y27" i="1" s="1"/>
  <c r="Y28" i="1" s="1"/>
  <c r="Y8" i="1" l="1"/>
  <c r="Y29" i="1" s="1"/>
  <c r="Y30" i="1" s="1"/>
  <c r="K9" i="1"/>
  <c r="AB16" i="1"/>
  <c r="Z43" i="1"/>
  <c r="Z44" i="1" s="1"/>
  <c r="AB17" i="1" l="1"/>
  <c r="Z45" i="1"/>
  <c r="Z46" i="1" s="1"/>
  <c r="K10" i="1"/>
  <c r="Y9" i="1"/>
  <c r="Y31" i="1" s="1"/>
  <c r="Y32" i="1" s="1"/>
  <c r="K11" i="1" l="1"/>
  <c r="Y10" i="1"/>
  <c r="Y33" i="1" s="1"/>
  <c r="Y34" i="1" s="1"/>
  <c r="Z47" i="1"/>
  <c r="Z48" i="1" s="1"/>
  <c r="AB18" i="1"/>
  <c r="Z49" i="1" s="1"/>
  <c r="Z50" i="1" s="1"/>
  <c r="K12" i="1" l="1"/>
  <c r="Y11" i="1"/>
  <c r="Y35" i="1" s="1"/>
  <c r="Y36" i="1" s="1"/>
  <c r="Y12" i="1" l="1"/>
  <c r="Y37" i="1" s="1"/>
  <c r="Y38" i="1" s="1"/>
  <c r="K13" i="1"/>
  <c r="Y13" i="1" l="1"/>
  <c r="Y39" i="1" s="1"/>
  <c r="Y40" i="1" s="1"/>
  <c r="K14" i="1"/>
  <c r="Y14" i="1" l="1"/>
  <c r="Y41" i="1" s="1"/>
  <c r="Y42" i="1" s="1"/>
  <c r="K15" i="1"/>
  <c r="Y15" i="1" l="1"/>
  <c r="Y43" i="1" s="1"/>
  <c r="Y44" i="1" s="1"/>
  <c r="K16" i="1"/>
  <c r="Y16" i="1" l="1"/>
  <c r="Y45" i="1" s="1"/>
  <c r="Y46" i="1" s="1"/>
  <c r="K17" i="1"/>
  <c r="K18" i="1" l="1"/>
  <c r="Y18" i="1" s="1"/>
  <c r="Y49" i="1" s="1"/>
  <c r="Y50" i="1" s="1"/>
  <c r="Y17" i="1"/>
  <c r="Y47" i="1" s="1"/>
  <c r="Y48" i="1" s="1"/>
</calcChain>
</file>

<file path=xl/sharedStrings.xml><?xml version="1.0" encoding="utf-8"?>
<sst xmlns="http://schemas.openxmlformats.org/spreadsheetml/2006/main" count="72" uniqueCount="58">
  <si>
    <t>TABLE:  Centers of Mass and Rigidity</t>
  </si>
  <si>
    <t>Higher Modes</t>
  </si>
  <si>
    <t>From ETABS</t>
  </si>
  <si>
    <t>Story</t>
  </si>
  <si>
    <t>height</t>
  </si>
  <si>
    <t xml:space="preserve">Mass </t>
  </si>
  <si>
    <t>Force</t>
  </si>
  <si>
    <t>Displacement</t>
  </si>
  <si>
    <r>
      <t>m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i</t>
    </r>
  </si>
  <si>
    <r>
      <t>m</t>
    </r>
    <r>
      <rPr>
        <b/>
        <sz val="8"/>
        <color theme="1"/>
        <rFont val="Calibri"/>
        <family val="2"/>
        <scheme val="minor"/>
      </rPr>
      <t xml:space="preserve">i </t>
    </r>
    <r>
      <rPr>
        <b/>
        <sz val="11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^2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</si>
  <si>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</t>
    </r>
  </si>
  <si>
    <r>
      <rPr>
        <b/>
        <sz val="11"/>
        <color theme="1"/>
        <rFont val="Symbol"/>
        <family val="1"/>
        <charset val="2"/>
      </rPr>
      <t>q</t>
    </r>
    <r>
      <rPr>
        <b/>
        <sz val="8"/>
        <color theme="1"/>
        <rFont val="Calibri"/>
        <family val="2"/>
        <scheme val="minor"/>
      </rPr>
      <t>i*</t>
    </r>
  </si>
  <si>
    <r>
      <t>F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</t>
    </r>
  </si>
  <si>
    <r>
      <t>V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</t>
    </r>
  </si>
  <si>
    <t>normalised height</t>
  </si>
  <si>
    <t>Gf</t>
  </si>
  <si>
    <r>
      <rPr>
        <b/>
        <sz val="11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i,j</t>
    </r>
  </si>
  <si>
    <r>
      <rPr>
        <b/>
        <sz val="11"/>
        <color theme="1"/>
        <rFont val="Symbol"/>
        <family val="1"/>
        <charset val="2"/>
      </rPr>
      <t>q</t>
    </r>
    <r>
      <rPr>
        <b/>
        <sz val="8"/>
        <color theme="1"/>
        <rFont val="Calibri"/>
        <family val="2"/>
        <scheme val="minor"/>
      </rPr>
      <t>i,j</t>
    </r>
  </si>
  <si>
    <r>
      <t>F</t>
    </r>
    <r>
      <rPr>
        <b/>
        <sz val="8"/>
        <color theme="1"/>
        <rFont val="Calibri"/>
        <family val="2"/>
        <scheme val="minor"/>
      </rPr>
      <t>i,j</t>
    </r>
  </si>
  <si>
    <r>
      <t>V</t>
    </r>
    <r>
      <rPr>
        <b/>
        <sz val="8"/>
        <color theme="1"/>
        <rFont val="Calibri"/>
        <family val="2"/>
        <scheme val="minor"/>
      </rPr>
      <t>i,j</t>
    </r>
  </si>
  <si>
    <t>Dynamic results</t>
  </si>
  <si>
    <t>VY</t>
  </si>
  <si>
    <t>kg</t>
  </si>
  <si>
    <t>kN</t>
  </si>
  <si>
    <t>mm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</si>
  <si>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mode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</si>
  <si>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mode</t>
    </r>
  </si>
  <si>
    <t>SRSS</t>
  </si>
  <si>
    <r>
      <rPr>
        <sz val="11"/>
        <color theme="1"/>
        <rFont val="Symbol"/>
        <family val="1"/>
        <charset val="2"/>
      </rPr>
      <t>d</t>
    </r>
    <r>
      <rPr>
        <sz val="8"/>
        <color theme="1"/>
        <rFont val="Calibri"/>
        <family val="2"/>
        <scheme val="minor"/>
      </rPr>
      <t>i</t>
    </r>
  </si>
  <si>
    <r>
      <t>F</t>
    </r>
    <r>
      <rPr>
        <sz val="8"/>
        <color theme="1"/>
        <rFont val="Calibri"/>
        <family val="2"/>
        <scheme val="minor"/>
      </rPr>
      <t>i</t>
    </r>
  </si>
  <si>
    <r>
      <t>V</t>
    </r>
    <r>
      <rPr>
        <sz val="8"/>
        <color theme="1"/>
        <rFont val="Calibri"/>
        <family val="2"/>
        <scheme val="minor"/>
      </rPr>
      <t>i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</si>
  <si>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i</t>
    </r>
  </si>
  <si>
    <t>Story15</t>
  </si>
  <si>
    <t>Story14</t>
  </si>
  <si>
    <t>Story13</t>
  </si>
  <si>
    <t>Story12</t>
  </si>
  <si>
    <t>Story11</t>
  </si>
  <si>
    <t>Story10</t>
  </si>
  <si>
    <t>Story9</t>
  </si>
  <si>
    <t>Story8</t>
  </si>
  <si>
    <t>Story7</t>
  </si>
  <si>
    <t>Story6</t>
  </si>
  <si>
    <t>Story5</t>
  </si>
  <si>
    <t>Story4</t>
  </si>
  <si>
    <t>Story3</t>
  </si>
  <si>
    <t>Story2</t>
  </si>
  <si>
    <t>Story1</t>
  </si>
  <si>
    <t>T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</si>
  <si>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eff</t>
    </r>
  </si>
  <si>
    <t>meff</t>
  </si>
  <si>
    <t>RSA</t>
  </si>
  <si>
    <t>Keff</t>
  </si>
  <si>
    <t>2nd mode</t>
  </si>
  <si>
    <t>3rd mode</t>
  </si>
  <si>
    <t>Teff</t>
  </si>
  <si>
    <t>Slope</t>
  </si>
  <si>
    <t>RSVmax^2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</si>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</sst>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Times New Roman"/>
      <family val="1"/>
    </font>
    <font>
      <b/>
      <sz val="8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sz val="10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5">
    <xf numFmtId="0" fontId="0" fillId="0" borderId="0" xfId="0"/>
    <xf numFmtId="0" fontId="3" fillId="3" borderId="2" xfId="0" applyFont="1" applyFill="1" applyBorder="1"/>
    <xf numFmtId="0" fontId="0" fillId="3" borderId="3" xfId="0" applyFill="1" applyBorder="1"/>
    <xf numFmtId="0" fontId="0" fillId="0" borderId="3" xfId="0" applyBorder="1"/>
    <xf numFmtId="0" fontId="2" fillId="2" borderId="1" xfId="2"/>
    <xf numFmtId="0" fontId="3" fillId="4" borderId="4" xfId="0" applyFont="1" applyFill="1" applyBorder="1" applyAlignment="1">
      <alignment horizontal="center"/>
    </xf>
    <xf numFmtId="0" fontId="0" fillId="0" borderId="5" xfId="0" applyBorder="1"/>
    <xf numFmtId="0" fontId="4" fillId="5" borderId="6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8" fillId="7" borderId="20" xfId="0" applyFont="1" applyFill="1" applyBorder="1" applyAlignment="1">
      <alignment horizontal="center" vertical="center" wrapText="1" readingOrder="1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  <xf numFmtId="1" fontId="0" fillId="0" borderId="22" xfId="0" applyNumberFormat="1" applyBorder="1"/>
    <xf numFmtId="2" fontId="0" fillId="0" borderId="21" xfId="0" applyNumberFormat="1" applyBorder="1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1" applyNumberFormat="1" applyFont="1" applyBorder="1" applyAlignment="1">
      <alignment vertical="center" wrapText="1"/>
    </xf>
    <xf numFmtId="10" fontId="0" fillId="0" borderId="22" xfId="1" applyNumberFormat="1" applyFon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0" fontId="0" fillId="0" borderId="22" xfId="1" applyNumberFormat="1" applyFont="1" applyBorder="1"/>
    <xf numFmtId="0" fontId="8" fillId="6" borderId="20" xfId="0" applyFont="1" applyFill="1" applyBorder="1" applyAlignment="1">
      <alignment horizontal="center" vertical="center" wrapText="1" readingOrder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" fontId="0" fillId="0" borderId="12" xfId="0" applyNumberFormat="1" applyBorder="1"/>
    <xf numFmtId="0" fontId="0" fillId="0" borderId="12" xfId="0" applyBorder="1"/>
    <xf numFmtId="164" fontId="0" fillId="0" borderId="12" xfId="0" applyNumberFormat="1" applyBorder="1"/>
    <xf numFmtId="10" fontId="0" fillId="0" borderId="12" xfId="1" applyNumberFormat="1" applyFont="1" applyBorder="1"/>
    <xf numFmtId="1" fontId="0" fillId="0" borderId="19" xfId="0" applyNumberFormat="1" applyBorder="1"/>
    <xf numFmtId="2" fontId="0" fillId="0" borderId="11" xfId="0" applyNumberFormat="1" applyBorder="1"/>
    <xf numFmtId="165" fontId="0" fillId="0" borderId="12" xfId="0" applyNumberFormat="1" applyBorder="1"/>
    <xf numFmtId="165" fontId="0" fillId="0" borderId="12" xfId="0" applyNumberFormat="1" applyBorder="1" applyAlignment="1">
      <alignment vertical="center" wrapText="1"/>
    </xf>
    <xf numFmtId="2" fontId="0" fillId="0" borderId="12" xfId="0" applyNumberFormat="1" applyBorder="1" applyAlignment="1">
      <alignment vertical="center" wrapText="1"/>
    </xf>
    <xf numFmtId="10" fontId="0" fillId="0" borderId="12" xfId="1" applyNumberFormat="1" applyFont="1" applyBorder="1" applyAlignment="1">
      <alignment vertical="center" wrapText="1"/>
    </xf>
    <xf numFmtId="10" fontId="0" fillId="0" borderId="19" xfId="1" applyNumberFormat="1" applyFont="1" applyBorder="1" applyAlignment="1">
      <alignment vertical="center" wrapText="1"/>
    </xf>
    <xf numFmtId="1" fontId="0" fillId="0" borderId="12" xfId="0" applyNumberFormat="1" applyBorder="1" applyAlignment="1">
      <alignment vertical="center" wrapText="1"/>
    </xf>
    <xf numFmtId="10" fontId="0" fillId="0" borderId="19" xfId="1" applyNumberFormat="1" applyFont="1" applyBorder="1"/>
    <xf numFmtId="2" fontId="0" fillId="0" borderId="0" xfId="0" applyNumberFormat="1"/>
    <xf numFmtId="10" fontId="0" fillId="0" borderId="0" xfId="1" applyNumberFormat="1" applyFont="1"/>
    <xf numFmtId="0" fontId="12" fillId="0" borderId="0" xfId="0" applyFon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Acceleration Displacement</a:t>
            </a:r>
            <a:r>
              <a:rPr lang="en-AU" baseline="0"/>
              <a:t> Response Spectrum</a:t>
            </a:r>
            <a:endParaRPr lang="en-AU"/>
          </a:p>
        </c:rich>
      </c:tx>
      <c:layout>
        <c:manualLayout>
          <c:xMode val="edge"/>
          <c:yMode val="edge"/>
          <c:x val="0.12843822843822844"/>
          <c:y val="5.33333333333333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4420384951881"/>
          <c:y val="0.17171296296296296"/>
          <c:w val="0.83866907261592305"/>
          <c:h val="0.669961723534558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[1]Sheet1!$C$7:$C$28</c:f>
              <c:numCache>
                <c:formatCode>General</c:formatCode>
                <c:ptCount val="22"/>
                <c:pt idx="0">
                  <c:v>1.3167992831167112</c:v>
                </c:pt>
                <c:pt idx="1">
                  <c:v>5.267197132466845</c:v>
                </c:pt>
                <c:pt idx="2">
                  <c:v>11.8511935480504</c:v>
                </c:pt>
                <c:pt idx="3">
                  <c:v>21.06878852986738</c:v>
                </c:pt>
                <c:pt idx="4">
                  <c:v>32.91998207791778</c:v>
                </c:pt>
                <c:pt idx="5">
                  <c:v>42.509715987572086</c:v>
                </c:pt>
                <c:pt idx="6">
                  <c:v>49.594668652167435</c:v>
                </c:pt>
                <c:pt idx="7">
                  <c:v>56.679621316762784</c:v>
                </c:pt>
                <c:pt idx="8">
                  <c:v>63.764573981358112</c:v>
                </c:pt>
                <c:pt idx="9">
                  <c:v>70.849526645953461</c:v>
                </c:pt>
                <c:pt idx="10">
                  <c:v>77.934479310548809</c:v>
                </c:pt>
                <c:pt idx="11">
                  <c:v>85.019431975144172</c:v>
                </c:pt>
                <c:pt idx="12">
                  <c:v>92.104384639739507</c:v>
                </c:pt>
                <c:pt idx="13">
                  <c:v>99.18933730433487</c:v>
                </c:pt>
                <c:pt idx="14">
                  <c:v>106.2742899689302</c:v>
                </c:pt>
                <c:pt idx="15">
                  <c:v>106.2742899689302</c:v>
                </c:pt>
                <c:pt idx="16">
                  <c:v>106.27428996893018</c:v>
                </c:pt>
                <c:pt idx="17">
                  <c:v>106.2742899689302</c:v>
                </c:pt>
                <c:pt idx="18">
                  <c:v>106.2742899689302</c:v>
                </c:pt>
                <c:pt idx="19">
                  <c:v>106.2742899689302</c:v>
                </c:pt>
                <c:pt idx="20">
                  <c:v>106.2742899689302</c:v>
                </c:pt>
                <c:pt idx="21">
                  <c:v>106.27428996893018</c:v>
                </c:pt>
              </c:numCache>
            </c:numRef>
          </c:xVal>
          <c:yVal>
            <c:numRef>
              <c:f>[1]Sheet1!$B$7:$B$28</c:f>
              <c:numCache>
                <c:formatCode>General</c:formatCode>
                <c:ptCount val="22"/>
                <c:pt idx="0">
                  <c:v>0.52992000000000006</c:v>
                </c:pt>
                <c:pt idx="1">
                  <c:v>0.52992000000000006</c:v>
                </c:pt>
                <c:pt idx="2">
                  <c:v>0.52992000000000006</c:v>
                </c:pt>
                <c:pt idx="3">
                  <c:v>0.52992000000000006</c:v>
                </c:pt>
                <c:pt idx="4">
                  <c:v>0.52992000000000006</c:v>
                </c:pt>
                <c:pt idx="5">
                  <c:v>0.47520000000000001</c:v>
                </c:pt>
                <c:pt idx="6">
                  <c:v>0.4073142857142858</c:v>
                </c:pt>
                <c:pt idx="7">
                  <c:v>0.35639999999999999</c:v>
                </c:pt>
                <c:pt idx="8">
                  <c:v>0.31679999999999997</c:v>
                </c:pt>
                <c:pt idx="9">
                  <c:v>0.28512000000000004</c:v>
                </c:pt>
                <c:pt idx="10">
                  <c:v>0.25919999999999999</c:v>
                </c:pt>
                <c:pt idx="11">
                  <c:v>0.23760000000000001</c:v>
                </c:pt>
                <c:pt idx="12">
                  <c:v>0.21932307692307693</c:v>
                </c:pt>
                <c:pt idx="13">
                  <c:v>0.2036571428571429</c:v>
                </c:pt>
                <c:pt idx="14">
                  <c:v>0.19008000000000003</c:v>
                </c:pt>
                <c:pt idx="15">
                  <c:v>0.10692000000000002</c:v>
                </c:pt>
                <c:pt idx="16">
                  <c:v>6.8428799999999998E-2</c:v>
                </c:pt>
                <c:pt idx="17">
                  <c:v>4.7520000000000007E-2</c:v>
                </c:pt>
                <c:pt idx="18">
                  <c:v>3.4912653061224493E-2</c:v>
                </c:pt>
                <c:pt idx="19">
                  <c:v>2.6730000000000004E-2</c:v>
                </c:pt>
                <c:pt idx="20">
                  <c:v>2.112E-2</c:v>
                </c:pt>
                <c:pt idx="21">
                  <c:v>1.7107199999999999E-2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C-4449-B169-D096DB36BE38}"/>
            </c:ext>
          </c:extLst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'[2]Centers of Mass and Rigidity'!$A$32:$A$34</c:f>
              <c:numCache>
                <c:formatCode>General</c:formatCode>
                <c:ptCount val="3"/>
                <c:pt idx="0">
                  <c:v>0</c:v>
                </c:pt>
                <c:pt idx="1">
                  <c:v>73.222749531528677</c:v>
                </c:pt>
                <c:pt idx="2">
                  <c:v>92.2300328377695</c:v>
                </c:pt>
              </c:numCache>
            </c:numRef>
          </c:xVal>
          <c:yVal>
            <c:numRef>
              <c:f>'[2]Centers of Mass and Rigidity'!$B$32:$B$34</c:f>
              <c:numCache>
                <c:formatCode>General</c:formatCode>
                <c:ptCount val="3"/>
                <c:pt idx="0">
                  <c:v>0</c:v>
                </c:pt>
                <c:pt idx="1">
                  <c:v>0.17388597958671814</c:v>
                </c:pt>
                <c:pt idx="2">
                  <c:v>0.21902359184702844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C-4449-B169-D096DB36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1632"/>
        <c:axId val="177726976"/>
      </c:scatterChart>
      <c:valAx>
        <c:axId val="1777016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976"/>
        <c:crosses val="autoZero"/>
        <c:crossBetween val="midCat"/>
      </c:valAx>
      <c:valAx>
        <c:axId val="177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RSA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40769903762"/>
          <c:y val="5.1400554097404488E-2"/>
          <c:w val="0.64206649168853891"/>
          <c:h val="0.77706401283172932"/>
        </c:manualLayout>
      </c:layout>
      <c:scatterChart>
        <c:scatterStyle val="lineMarker"/>
        <c:varyColors val="0"/>
        <c:ser>
          <c:idx val="0"/>
          <c:order val="0"/>
          <c:tx>
            <c:v>GFM</c:v>
          </c:tx>
          <c:marker>
            <c:symbol val="none"/>
          </c:marker>
          <c:xVal>
            <c:numRef>
              <c:f>'[2]Centers of Mass and Rigidity'!$Y$21:$Y$50</c:f>
              <c:numCache>
                <c:formatCode>0</c:formatCode>
                <c:ptCount val="30"/>
                <c:pt idx="0">
                  <c:v>4651.7981146605653</c:v>
                </c:pt>
                <c:pt idx="1">
                  <c:v>4651.7981146605653</c:v>
                </c:pt>
                <c:pt idx="2">
                  <c:v>8503.8183146287502</c:v>
                </c:pt>
                <c:pt idx="3">
                  <c:v>8503.8183146287502</c:v>
                </c:pt>
                <c:pt idx="4">
                  <c:v>11361.76901664142</c:v>
                </c:pt>
                <c:pt idx="5">
                  <c:v>11361.76901664142</c:v>
                </c:pt>
                <c:pt idx="6">
                  <c:v>13371.361446847768</c:v>
                </c:pt>
                <c:pt idx="7">
                  <c:v>13371.361446847768</c:v>
                </c:pt>
                <c:pt idx="8">
                  <c:v>14856.310883761333</c:v>
                </c:pt>
                <c:pt idx="9">
                  <c:v>14856.310883761333</c:v>
                </c:pt>
                <c:pt idx="10">
                  <c:v>16092.360405684569</c:v>
                </c:pt>
                <c:pt idx="11">
                  <c:v>16092.360405684569</c:v>
                </c:pt>
                <c:pt idx="12">
                  <c:v>17301.189486410804</c:v>
                </c:pt>
                <c:pt idx="13">
                  <c:v>17301.189486410804</c:v>
                </c:pt>
                <c:pt idx="14">
                  <c:v>18584.88656614751</c:v>
                </c:pt>
                <c:pt idx="15">
                  <c:v>18584.88656614751</c:v>
                </c:pt>
                <c:pt idx="16">
                  <c:v>19958.932963370662</c:v>
                </c:pt>
                <c:pt idx="17">
                  <c:v>19958.932963370662</c:v>
                </c:pt>
                <c:pt idx="18">
                  <c:v>21453.780418781032</c:v>
                </c:pt>
                <c:pt idx="19">
                  <c:v>21453.780418781032</c:v>
                </c:pt>
                <c:pt idx="20">
                  <c:v>23063.738566836393</c:v>
                </c:pt>
                <c:pt idx="21">
                  <c:v>23063.738566836393</c:v>
                </c:pt>
                <c:pt idx="22">
                  <c:v>24699.023027185012</c:v>
                </c:pt>
                <c:pt idx="23">
                  <c:v>24699.023027185012</c:v>
                </c:pt>
                <c:pt idx="24">
                  <c:v>26234.768636262033</c:v>
                </c:pt>
                <c:pt idx="25">
                  <c:v>26234.768636262033</c:v>
                </c:pt>
                <c:pt idx="26">
                  <c:v>27452.845118683599</c:v>
                </c:pt>
                <c:pt idx="27">
                  <c:v>27452.845118683599</c:v>
                </c:pt>
                <c:pt idx="28">
                  <c:v>28262.176735206689</c:v>
                </c:pt>
                <c:pt idx="29">
                  <c:v>28262.176735206689</c:v>
                </c:pt>
              </c:numCache>
            </c:numRef>
          </c:xVal>
          <c:yVal>
            <c:numRef>
              <c:f>'[2]Centers of Mass and Rigidity'!$X$21:$X$50</c:f>
              <c:numCache>
                <c:formatCode>General</c:formatCode>
                <c:ptCount val="3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0-4177-B578-328E59A2B94A}"/>
            </c:ext>
          </c:extLst>
        </c:ser>
        <c:ser>
          <c:idx val="1"/>
          <c:order val="1"/>
          <c:tx>
            <c:v>Dynamic analysis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'[2]Centers of Mass and Rigidity'!$Z$21:$Z$50</c:f>
              <c:numCache>
                <c:formatCode>0</c:formatCode>
                <c:ptCount val="30"/>
                <c:pt idx="0">
                  <c:v>5115.0295999999998</c:v>
                </c:pt>
                <c:pt idx="1">
                  <c:v>5115.0295999999998</c:v>
                </c:pt>
                <c:pt idx="2">
                  <c:v>9213.4712</c:v>
                </c:pt>
                <c:pt idx="3">
                  <c:v>9213.4712</c:v>
                </c:pt>
                <c:pt idx="4">
                  <c:v>12114.5136</c:v>
                </c:pt>
                <c:pt idx="5">
                  <c:v>12114.5136</c:v>
                </c:pt>
                <c:pt idx="6">
                  <c:v>14089.2413</c:v>
                </c:pt>
                <c:pt idx="7">
                  <c:v>14089.2413</c:v>
                </c:pt>
                <c:pt idx="8">
                  <c:v>15506.7163</c:v>
                </c:pt>
                <c:pt idx="9">
                  <c:v>15506.7163</c:v>
                </c:pt>
                <c:pt idx="10">
                  <c:v>16710.437399999999</c:v>
                </c:pt>
                <c:pt idx="11">
                  <c:v>16710.437399999999</c:v>
                </c:pt>
                <c:pt idx="12">
                  <c:v>17926.287899999999</c:v>
                </c:pt>
                <c:pt idx="13">
                  <c:v>17926.287899999999</c:v>
                </c:pt>
                <c:pt idx="14">
                  <c:v>19234.180199999999</c:v>
                </c:pt>
                <c:pt idx="15">
                  <c:v>19234.180199999999</c:v>
                </c:pt>
                <c:pt idx="16">
                  <c:v>20624.271000000001</c:v>
                </c:pt>
                <c:pt idx="17">
                  <c:v>20624.271000000001</c:v>
                </c:pt>
                <c:pt idx="18">
                  <c:v>22118.6142</c:v>
                </c:pt>
                <c:pt idx="19">
                  <c:v>22118.6142</c:v>
                </c:pt>
                <c:pt idx="20">
                  <c:v>23713.564900000001</c:v>
                </c:pt>
                <c:pt idx="21">
                  <c:v>23713.564900000001</c:v>
                </c:pt>
                <c:pt idx="22">
                  <c:v>25299.257000000001</c:v>
                </c:pt>
                <c:pt idx="23">
                  <c:v>25299.257000000001</c:v>
                </c:pt>
                <c:pt idx="24">
                  <c:v>26717.387500000001</c:v>
                </c:pt>
                <c:pt idx="25">
                  <c:v>26717.387500000001</c:v>
                </c:pt>
                <c:pt idx="26">
                  <c:v>27745.806799999998</c:v>
                </c:pt>
                <c:pt idx="27">
                  <c:v>27745.806799999998</c:v>
                </c:pt>
                <c:pt idx="28">
                  <c:v>28304.697400000001</c:v>
                </c:pt>
                <c:pt idx="29">
                  <c:v>28304.697400000001</c:v>
                </c:pt>
              </c:numCache>
            </c:numRef>
          </c:xVal>
          <c:yVal>
            <c:numRef>
              <c:f>'[2]Centers of Mass and Rigidity'!$X$21:$X$50</c:f>
              <c:numCache>
                <c:formatCode>General</c:formatCode>
                <c:ptCount val="3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0-4177-B578-328E59A2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3984"/>
        <c:axId val="175912448"/>
      </c:scatterChart>
      <c:valAx>
        <c:axId val="175913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storey shear (kN)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912448"/>
        <c:crosses val="autoZero"/>
        <c:crossBetween val="midCat"/>
      </c:valAx>
      <c:valAx>
        <c:axId val="17591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storey 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1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29658792651"/>
          <c:y val="5.1400554097404488E-2"/>
          <c:w val="0.60522615923009626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v>GFM</c:v>
          </c:tx>
          <c:marker>
            <c:symbol val="none"/>
          </c:marker>
          <c:xVal>
            <c:numRef>
              <c:f>'[2]Centers of Mass and Rigidity'!$Q$4:$Q$19</c:f>
              <c:numCache>
                <c:formatCode>0.00</c:formatCode>
                <c:ptCount val="16"/>
                <c:pt idx="0">
                  <c:v>136.45654272346979</c:v>
                </c:pt>
                <c:pt idx="1">
                  <c:v>126.25163896337365</c:v>
                </c:pt>
                <c:pt idx="2">
                  <c:v>115.94769711844947</c:v>
                </c:pt>
                <c:pt idx="3">
                  <c:v>105.30969854722345</c:v>
                </c:pt>
                <c:pt idx="4">
                  <c:v>94.482546941605676</c:v>
                </c:pt>
                <c:pt idx="5">
                  <c:v>83.596394428427089</c:v>
                </c:pt>
                <c:pt idx="6">
                  <c:v>72.776902467834589</c:v>
                </c:pt>
                <c:pt idx="7">
                  <c:v>61.980617496717137</c:v>
                </c:pt>
                <c:pt idx="8">
                  <c:v>51.46924352247671</c:v>
                </c:pt>
                <c:pt idx="9">
                  <c:v>41.334793733274481</c:v>
                </c:pt>
                <c:pt idx="10">
                  <c:v>31.876663076321872</c:v>
                </c:pt>
                <c:pt idx="11">
                  <c:v>23.023782133739626</c:v>
                </c:pt>
                <c:pt idx="12">
                  <c:v>15.205153199650089</c:v>
                </c:pt>
                <c:pt idx="13">
                  <c:v>8.5425497309379015</c:v>
                </c:pt>
                <c:pt idx="14">
                  <c:v>3.5514447164424223</c:v>
                </c:pt>
                <c:pt idx="15" formatCode="General">
                  <c:v>0</c:v>
                </c:pt>
              </c:numCache>
            </c:numRef>
          </c:xVal>
          <c:yVal>
            <c:numRef>
              <c:f>'[2]Centers of Mass and Rigidity'!$B$4:$B$19</c:f>
              <c:numCache>
                <c:formatCode>General</c:formatCode>
                <c:ptCount val="16"/>
                <c:pt idx="0">
                  <c:v>48.800000000000011</c:v>
                </c:pt>
                <c:pt idx="1">
                  <c:v>45.600000000000009</c:v>
                </c:pt>
                <c:pt idx="2">
                  <c:v>42.400000000000006</c:v>
                </c:pt>
                <c:pt idx="3">
                  <c:v>39.200000000000003</c:v>
                </c:pt>
                <c:pt idx="4">
                  <c:v>36</c:v>
                </c:pt>
                <c:pt idx="5">
                  <c:v>32.799999999999997</c:v>
                </c:pt>
                <c:pt idx="6">
                  <c:v>29.599999999999998</c:v>
                </c:pt>
                <c:pt idx="7">
                  <c:v>26.4</c:v>
                </c:pt>
                <c:pt idx="8">
                  <c:v>23.2</c:v>
                </c:pt>
                <c:pt idx="9">
                  <c:v>20</c:v>
                </c:pt>
                <c:pt idx="10">
                  <c:v>16.8</c:v>
                </c:pt>
                <c:pt idx="11">
                  <c:v>13.600000000000001</c:v>
                </c:pt>
                <c:pt idx="12">
                  <c:v>10.4</c:v>
                </c:pt>
                <c:pt idx="13">
                  <c:v>7.2</c:v>
                </c:pt>
                <c:pt idx="14">
                  <c:v>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1-40E6-8187-2A30ED537621}"/>
            </c:ext>
          </c:extLst>
        </c:ser>
        <c:ser>
          <c:idx val="1"/>
          <c:order val="1"/>
          <c:tx>
            <c:v>Dynamic analysis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'[2]Centers of Mass and Rigidity'!$Z$4:$Z$19</c:f>
              <c:numCache>
                <c:formatCode>General</c:formatCode>
                <c:ptCount val="16"/>
                <c:pt idx="0">
                  <c:v>140.4</c:v>
                </c:pt>
                <c:pt idx="1">
                  <c:v>129.9</c:v>
                </c:pt>
                <c:pt idx="2">
                  <c:v>119.2</c:v>
                </c:pt>
                <c:pt idx="3">
                  <c:v>108.2</c:v>
                </c:pt>
                <c:pt idx="4">
                  <c:v>97.1</c:v>
                </c:pt>
                <c:pt idx="5">
                  <c:v>85.8</c:v>
                </c:pt>
                <c:pt idx="6">
                  <c:v>74.599999999999994</c:v>
                </c:pt>
                <c:pt idx="7">
                  <c:v>63.6</c:v>
                </c:pt>
                <c:pt idx="8">
                  <c:v>52.7</c:v>
                </c:pt>
                <c:pt idx="9">
                  <c:v>42.3</c:v>
                </c:pt>
                <c:pt idx="10">
                  <c:v>32.4</c:v>
                </c:pt>
                <c:pt idx="11">
                  <c:v>23.3</c:v>
                </c:pt>
                <c:pt idx="12">
                  <c:v>15.2</c:v>
                </c:pt>
                <c:pt idx="13">
                  <c:v>8.4</c:v>
                </c:pt>
                <c:pt idx="14">
                  <c:v>3.2</c:v>
                </c:pt>
                <c:pt idx="15">
                  <c:v>0</c:v>
                </c:pt>
              </c:numCache>
            </c:numRef>
          </c:xVal>
          <c:yVal>
            <c:numRef>
              <c:f>'[2]Centers of Mass and Rigidity'!$B$4:$B$19</c:f>
              <c:numCache>
                <c:formatCode>General</c:formatCode>
                <c:ptCount val="16"/>
                <c:pt idx="0">
                  <c:v>48.800000000000011</c:v>
                </c:pt>
                <c:pt idx="1">
                  <c:v>45.600000000000009</c:v>
                </c:pt>
                <c:pt idx="2">
                  <c:v>42.400000000000006</c:v>
                </c:pt>
                <c:pt idx="3">
                  <c:v>39.200000000000003</c:v>
                </c:pt>
                <c:pt idx="4">
                  <c:v>36</c:v>
                </c:pt>
                <c:pt idx="5">
                  <c:v>32.799999999999997</c:v>
                </c:pt>
                <c:pt idx="6">
                  <c:v>29.599999999999998</c:v>
                </c:pt>
                <c:pt idx="7">
                  <c:v>26.4</c:v>
                </c:pt>
                <c:pt idx="8">
                  <c:v>23.2</c:v>
                </c:pt>
                <c:pt idx="9">
                  <c:v>20</c:v>
                </c:pt>
                <c:pt idx="10">
                  <c:v>16.8</c:v>
                </c:pt>
                <c:pt idx="11">
                  <c:v>13.600000000000001</c:v>
                </c:pt>
                <c:pt idx="12">
                  <c:v>10.4</c:v>
                </c:pt>
                <c:pt idx="13">
                  <c:v>7.2</c:v>
                </c:pt>
                <c:pt idx="14">
                  <c:v>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1-40E6-8187-2A30ED53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168"/>
        <c:axId val="179733632"/>
      </c:scatterChart>
      <c:valAx>
        <c:axId val="17973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733632"/>
        <c:crosses val="autoZero"/>
        <c:crossBetween val="midCat"/>
      </c:valAx>
      <c:valAx>
        <c:axId val="1797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3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40769903762"/>
          <c:y val="5.1400554097404488E-2"/>
          <c:w val="0.64206649168853891"/>
          <c:h val="0.77706401283172932"/>
        </c:manualLayout>
      </c:layout>
      <c:scatterChart>
        <c:scatterStyle val="lineMarker"/>
        <c:varyColors val="0"/>
        <c:ser>
          <c:idx val="0"/>
          <c:order val="0"/>
          <c:tx>
            <c:v>GFM</c:v>
          </c:tx>
          <c:marker>
            <c:symbol val="none"/>
          </c:marker>
          <c:xVal>
            <c:numRef>
              <c:f>'[2]Centers of Mass and Rigidity'!$AA$21:$AA$50</c:f>
              <c:numCache>
                <c:formatCode>0.00%</c:formatCode>
                <c:ptCount val="30"/>
                <c:pt idx="0">
                  <c:v>3.2442114715749521E-3</c:v>
                </c:pt>
                <c:pt idx="1">
                  <c:v>3.2442114715749521E-3</c:v>
                </c:pt>
                <c:pt idx="2">
                  <c:v>3.2921227785369959E-3</c:v>
                </c:pt>
                <c:pt idx="3">
                  <c:v>3.2921227785369959E-3</c:v>
                </c:pt>
                <c:pt idx="4">
                  <c:v>3.4174977918437245E-3</c:v>
                </c:pt>
                <c:pt idx="5">
                  <c:v>3.4174977918437245E-3</c:v>
                </c:pt>
                <c:pt idx="6">
                  <c:v>3.4790649640041725E-3</c:v>
                </c:pt>
                <c:pt idx="7">
                  <c:v>3.4790649640041725E-3</c:v>
                </c:pt>
                <c:pt idx="8">
                  <c:v>3.4999149437201344E-3</c:v>
                </c:pt>
                <c:pt idx="9">
                  <c:v>3.4999149437201344E-3</c:v>
                </c:pt>
                <c:pt idx="10">
                  <c:v>3.4809164272119331E-3</c:v>
                </c:pt>
                <c:pt idx="11">
                  <c:v>3.4809164272119331E-3</c:v>
                </c:pt>
                <c:pt idx="12">
                  <c:v>3.4492467580164573E-3</c:v>
                </c:pt>
                <c:pt idx="13">
                  <c:v>3.4492467580164573E-3</c:v>
                </c:pt>
                <c:pt idx="14">
                  <c:v>3.3588985078595399E-3</c:v>
                </c:pt>
                <c:pt idx="15">
                  <c:v>3.3588985078595399E-3</c:v>
                </c:pt>
                <c:pt idx="16">
                  <c:v>3.2327142389328056E-3</c:v>
                </c:pt>
                <c:pt idx="17">
                  <c:v>3.2327142389328056E-3</c:v>
                </c:pt>
                <c:pt idx="18">
                  <c:v>2.9981525704130358E-3</c:v>
                </c:pt>
                <c:pt idx="19">
                  <c:v>2.9981525704130358E-3</c:v>
                </c:pt>
                <c:pt idx="20">
                  <c:v>2.8089897890518183E-3</c:v>
                </c:pt>
                <c:pt idx="21">
                  <c:v>2.8089897890518183E-3</c:v>
                </c:pt>
                <c:pt idx="22">
                  <c:v>2.4753873680232901E-3</c:v>
                </c:pt>
                <c:pt idx="23">
                  <c:v>2.4753873680232901E-3</c:v>
                </c:pt>
                <c:pt idx="24">
                  <c:v>2.108549070059132E-3</c:v>
                </c:pt>
                <c:pt idx="25">
                  <c:v>2.108549070059132E-3</c:v>
                </c:pt>
                <c:pt idx="26">
                  <c:v>1.5854112150852542E-3</c:v>
                </c:pt>
                <c:pt idx="27">
                  <c:v>1.5854112150852542E-3</c:v>
                </c:pt>
                <c:pt idx="28">
                  <c:v>8.8786117911060568E-4</c:v>
                </c:pt>
                <c:pt idx="29">
                  <c:v>8.8786117911060568E-4</c:v>
                </c:pt>
              </c:numCache>
            </c:numRef>
          </c:xVal>
          <c:yVal>
            <c:numRef>
              <c:f>'[2]Centers of Mass and Rigidity'!$X$21:$X$50</c:f>
              <c:numCache>
                <c:formatCode>General</c:formatCode>
                <c:ptCount val="3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445D-9715-404B0D13AA4D}"/>
            </c:ext>
          </c:extLst>
        </c:ser>
        <c:ser>
          <c:idx val="1"/>
          <c:order val="1"/>
          <c:tx>
            <c:v>dynamic analysis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'[2]Centers of Mass and Rigidity'!$AB$21:$AB$50</c:f>
              <c:numCache>
                <c:formatCode>0.00%</c:formatCode>
                <c:ptCount val="30"/>
                <c:pt idx="0">
                  <c:v>3.3679999999999999E-3</c:v>
                </c:pt>
                <c:pt idx="1">
                  <c:v>3.3679999999999999E-3</c:v>
                </c:pt>
                <c:pt idx="2">
                  <c:v>3.4580000000000001E-3</c:v>
                </c:pt>
                <c:pt idx="3">
                  <c:v>3.4580000000000001E-3</c:v>
                </c:pt>
                <c:pt idx="4">
                  <c:v>3.5400000000000002E-3</c:v>
                </c:pt>
                <c:pt idx="5">
                  <c:v>3.5400000000000002E-3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3.627E-3</c:v>
                </c:pt>
                <c:pt idx="9">
                  <c:v>3.627E-3</c:v>
                </c:pt>
                <c:pt idx="10">
                  <c:v>3.617E-3</c:v>
                </c:pt>
                <c:pt idx="11">
                  <c:v>3.617E-3</c:v>
                </c:pt>
                <c:pt idx="12">
                  <c:v>3.5469999999999998E-3</c:v>
                </c:pt>
                <c:pt idx="13">
                  <c:v>3.5469999999999998E-3</c:v>
                </c:pt>
                <c:pt idx="14">
                  <c:v>3.457E-3</c:v>
                </c:pt>
                <c:pt idx="15">
                  <c:v>3.457E-3</c:v>
                </c:pt>
                <c:pt idx="16">
                  <c:v>3.3219999999999999E-3</c:v>
                </c:pt>
                <c:pt idx="17">
                  <c:v>3.3219999999999999E-3</c:v>
                </c:pt>
                <c:pt idx="18">
                  <c:v>3.1189999999999998E-3</c:v>
                </c:pt>
                <c:pt idx="19">
                  <c:v>3.1189999999999998E-3</c:v>
                </c:pt>
                <c:pt idx="20">
                  <c:v>2.875E-3</c:v>
                </c:pt>
                <c:pt idx="21">
                  <c:v>2.875E-3</c:v>
                </c:pt>
                <c:pt idx="22">
                  <c:v>2.5560000000000001E-3</c:v>
                </c:pt>
                <c:pt idx="23">
                  <c:v>2.5560000000000001E-3</c:v>
                </c:pt>
                <c:pt idx="24">
                  <c:v>2.1320000000000002E-3</c:v>
                </c:pt>
                <c:pt idx="25">
                  <c:v>2.1320000000000002E-3</c:v>
                </c:pt>
                <c:pt idx="26">
                  <c:v>1.6080000000000001E-3</c:v>
                </c:pt>
                <c:pt idx="27">
                  <c:v>1.6080000000000001E-3</c:v>
                </c:pt>
                <c:pt idx="28">
                  <c:v>8.0999999999999996E-4</c:v>
                </c:pt>
                <c:pt idx="29">
                  <c:v>8.0999999999999996E-4</c:v>
                </c:pt>
              </c:numCache>
            </c:numRef>
          </c:xVal>
          <c:yVal>
            <c:numRef>
              <c:f>'[2]Centers of Mass and Rigidity'!$X$21:$X$50</c:f>
              <c:numCache>
                <c:formatCode>General</c:formatCode>
                <c:ptCount val="3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3-445D-9715-404B0D13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8704"/>
        <c:axId val="162703232"/>
      </c:scatterChart>
      <c:valAx>
        <c:axId val="14136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inter-storey drift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62703232"/>
        <c:crosses val="autoZero"/>
        <c:crossBetween val="midCat"/>
      </c:valAx>
      <c:valAx>
        <c:axId val="1627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storey 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6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47625</xdr:rowOff>
    </xdr:from>
    <xdr:to>
      <xdr:col>6</xdr:col>
      <xdr:colOff>691515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F7B9B-7C2F-4DE8-B156-9C60461D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800099</xdr:colOff>
      <xdr:row>18</xdr:row>
      <xdr:rowOff>57150</xdr:rowOff>
    </xdr:from>
    <xdr:to>
      <xdr:col>14</xdr:col>
      <xdr:colOff>295274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80292-9FCF-416F-8AAB-DD87BFA0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552450</xdr:colOff>
      <xdr:row>39</xdr:row>
      <xdr:rowOff>180975</xdr:rowOff>
    </xdr:from>
    <xdr:to>
      <xdr:col>38</xdr:col>
      <xdr:colOff>247650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83360-0C09-433A-8BD6-DF441AAB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21</xdr:row>
      <xdr:rowOff>0</xdr:rowOff>
    </xdr:from>
    <xdr:to>
      <xdr:col>45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3E660-D7F5-4D59-8214-2694AB51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%203%206stor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C%20Qs7%2015%20stor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s of Mass and Rigidity"/>
      <sheetName val="Sheet1"/>
    </sheetNames>
    <sheetDataSet>
      <sheetData sheetId="0"/>
      <sheetData sheetId="1">
        <row r="7">
          <cell r="B7">
            <v>0.52992000000000006</v>
          </cell>
          <cell r="C7">
            <v>1.3167992831167112</v>
          </cell>
        </row>
        <row r="8">
          <cell r="B8">
            <v>0.52992000000000006</v>
          </cell>
          <cell r="C8">
            <v>5.267197132466845</v>
          </cell>
        </row>
        <row r="9">
          <cell r="B9">
            <v>0.52992000000000006</v>
          </cell>
          <cell r="C9">
            <v>11.8511935480504</v>
          </cell>
        </row>
        <row r="10">
          <cell r="B10">
            <v>0.52992000000000006</v>
          </cell>
          <cell r="C10">
            <v>21.06878852986738</v>
          </cell>
        </row>
        <row r="11">
          <cell r="B11">
            <v>0.52992000000000006</v>
          </cell>
          <cell r="C11">
            <v>32.91998207791778</v>
          </cell>
        </row>
        <row r="12">
          <cell r="B12">
            <v>0.47520000000000001</v>
          </cell>
          <cell r="C12">
            <v>42.509715987572086</v>
          </cell>
        </row>
        <row r="13">
          <cell r="B13">
            <v>0.4073142857142858</v>
          </cell>
          <cell r="C13">
            <v>49.594668652167435</v>
          </cell>
        </row>
        <row r="14">
          <cell r="B14">
            <v>0.35639999999999999</v>
          </cell>
          <cell r="C14">
            <v>56.679621316762784</v>
          </cell>
        </row>
        <row r="15">
          <cell r="B15">
            <v>0.31679999999999997</v>
          </cell>
          <cell r="C15">
            <v>63.764573981358112</v>
          </cell>
        </row>
        <row r="16">
          <cell r="B16">
            <v>0.28512000000000004</v>
          </cell>
          <cell r="C16">
            <v>70.849526645953461</v>
          </cell>
        </row>
        <row r="17">
          <cell r="B17">
            <v>0.25919999999999999</v>
          </cell>
          <cell r="C17">
            <v>77.934479310548809</v>
          </cell>
        </row>
        <row r="18">
          <cell r="B18">
            <v>0.23760000000000001</v>
          </cell>
          <cell r="C18">
            <v>85.019431975144172</v>
          </cell>
        </row>
        <row r="19">
          <cell r="B19">
            <v>0.21932307692307693</v>
          </cell>
          <cell r="C19">
            <v>92.104384639739507</v>
          </cell>
        </row>
        <row r="20">
          <cell r="B20">
            <v>0.2036571428571429</v>
          </cell>
          <cell r="C20">
            <v>99.18933730433487</v>
          </cell>
        </row>
        <row r="21">
          <cell r="B21">
            <v>0.19008000000000003</v>
          </cell>
          <cell r="C21">
            <v>106.2742899689302</v>
          </cell>
        </row>
        <row r="22">
          <cell r="B22">
            <v>0.10692000000000002</v>
          </cell>
          <cell r="C22">
            <v>106.2742899689302</v>
          </cell>
        </row>
        <row r="23">
          <cell r="B23">
            <v>6.8428799999999998E-2</v>
          </cell>
          <cell r="C23">
            <v>106.27428996893018</v>
          </cell>
        </row>
        <row r="24">
          <cell r="B24">
            <v>4.7520000000000007E-2</v>
          </cell>
          <cell r="C24">
            <v>106.2742899689302</v>
          </cell>
        </row>
        <row r="25">
          <cell r="B25">
            <v>3.4912653061224493E-2</v>
          </cell>
          <cell r="C25">
            <v>106.2742899689302</v>
          </cell>
        </row>
        <row r="26">
          <cell r="B26">
            <v>2.6730000000000004E-2</v>
          </cell>
          <cell r="C26">
            <v>106.2742899689302</v>
          </cell>
        </row>
        <row r="27">
          <cell r="B27">
            <v>2.112E-2</v>
          </cell>
          <cell r="C27">
            <v>106.2742899689302</v>
          </cell>
        </row>
        <row r="28">
          <cell r="B28">
            <v>1.7107199999999999E-2</v>
          </cell>
          <cell r="C28">
            <v>106.27428996893018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s of Mass and Rigidity"/>
    </sheetNames>
    <sheetDataSet>
      <sheetData sheetId="0">
        <row r="4">
          <cell r="B4">
            <v>48.800000000000011</v>
          </cell>
          <cell r="Q4">
            <v>136.45654272346979</v>
          </cell>
          <cell r="Z4">
            <v>140.4</v>
          </cell>
        </row>
        <row r="5">
          <cell r="B5">
            <v>45.600000000000009</v>
          </cell>
          <cell r="Q5">
            <v>126.25163896337365</v>
          </cell>
          <cell r="Z5">
            <v>129.9</v>
          </cell>
        </row>
        <row r="6">
          <cell r="B6">
            <v>42.400000000000006</v>
          </cell>
          <cell r="Q6">
            <v>115.94769711844947</v>
          </cell>
          <cell r="Z6">
            <v>119.2</v>
          </cell>
        </row>
        <row r="7">
          <cell r="B7">
            <v>39.200000000000003</v>
          </cell>
          <cell r="Q7">
            <v>105.30969854722345</v>
          </cell>
          <cell r="Z7">
            <v>108.2</v>
          </cell>
        </row>
        <row r="8">
          <cell r="B8">
            <v>36</v>
          </cell>
          <cell r="Q8">
            <v>94.482546941605676</v>
          </cell>
          <cell r="Z8">
            <v>97.1</v>
          </cell>
        </row>
        <row r="9">
          <cell r="B9">
            <v>32.799999999999997</v>
          </cell>
          <cell r="Q9">
            <v>83.596394428427089</v>
          </cell>
          <cell r="Z9">
            <v>85.8</v>
          </cell>
        </row>
        <row r="10">
          <cell r="B10">
            <v>29.599999999999998</v>
          </cell>
          <cell r="Q10">
            <v>72.776902467834589</v>
          </cell>
          <cell r="Z10">
            <v>74.599999999999994</v>
          </cell>
        </row>
        <row r="11">
          <cell r="B11">
            <v>26.4</v>
          </cell>
          <cell r="Q11">
            <v>61.980617496717137</v>
          </cell>
          <cell r="Z11">
            <v>63.6</v>
          </cell>
        </row>
        <row r="12">
          <cell r="B12">
            <v>23.2</v>
          </cell>
          <cell r="Q12">
            <v>51.46924352247671</v>
          </cell>
          <cell r="Z12">
            <v>52.7</v>
          </cell>
        </row>
        <row r="13">
          <cell r="B13">
            <v>20</v>
          </cell>
          <cell r="Q13">
            <v>41.334793733274481</v>
          </cell>
          <cell r="Z13">
            <v>42.3</v>
          </cell>
        </row>
        <row r="14">
          <cell r="B14">
            <v>16.8</v>
          </cell>
          <cell r="Q14">
            <v>31.876663076321872</v>
          </cell>
          <cell r="Z14">
            <v>32.4</v>
          </cell>
        </row>
        <row r="15">
          <cell r="B15">
            <v>13.600000000000001</v>
          </cell>
          <cell r="Q15">
            <v>23.023782133739626</v>
          </cell>
          <cell r="Z15">
            <v>23.3</v>
          </cell>
        </row>
        <row r="16">
          <cell r="B16">
            <v>10.4</v>
          </cell>
          <cell r="Q16">
            <v>15.205153199650089</v>
          </cell>
          <cell r="Z16">
            <v>15.2</v>
          </cell>
        </row>
        <row r="17">
          <cell r="B17">
            <v>7.2</v>
          </cell>
          <cell r="Q17">
            <v>8.5425497309379015</v>
          </cell>
          <cell r="Z17">
            <v>8.4</v>
          </cell>
        </row>
        <row r="18">
          <cell r="B18">
            <v>4</v>
          </cell>
          <cell r="Q18">
            <v>3.5514447164424223</v>
          </cell>
          <cell r="Z18">
            <v>3.2</v>
          </cell>
        </row>
        <row r="19">
          <cell r="B19">
            <v>0</v>
          </cell>
          <cell r="Q19">
            <v>0</v>
          </cell>
          <cell r="Z19">
            <v>0</v>
          </cell>
        </row>
        <row r="21">
          <cell r="X21">
            <v>15</v>
          </cell>
          <cell r="Y21">
            <v>4651.7981146605653</v>
          </cell>
          <cell r="Z21">
            <v>5115.0295999999998</v>
          </cell>
          <cell r="AA21">
            <v>3.2442114715749521E-3</v>
          </cell>
          <cell r="AB21">
            <v>3.3679999999999999E-3</v>
          </cell>
        </row>
        <row r="22">
          <cell r="X22">
            <v>14</v>
          </cell>
          <cell r="Y22">
            <v>4651.7981146605653</v>
          </cell>
          <cell r="Z22">
            <v>5115.0295999999998</v>
          </cell>
          <cell r="AA22">
            <v>3.2442114715749521E-3</v>
          </cell>
          <cell r="AB22">
            <v>3.3679999999999999E-3</v>
          </cell>
        </row>
        <row r="23">
          <cell r="X23">
            <v>14</v>
          </cell>
          <cell r="Y23">
            <v>8503.8183146287502</v>
          </cell>
          <cell r="Z23">
            <v>9213.4712</v>
          </cell>
          <cell r="AA23">
            <v>3.2921227785369959E-3</v>
          </cell>
          <cell r="AB23">
            <v>3.4580000000000001E-3</v>
          </cell>
        </row>
        <row r="24">
          <cell r="X24">
            <v>13</v>
          </cell>
          <cell r="Y24">
            <v>8503.8183146287502</v>
          </cell>
          <cell r="Z24">
            <v>9213.4712</v>
          </cell>
          <cell r="AA24">
            <v>3.2921227785369959E-3</v>
          </cell>
          <cell r="AB24">
            <v>3.4580000000000001E-3</v>
          </cell>
        </row>
        <row r="25">
          <cell r="X25">
            <v>13</v>
          </cell>
          <cell r="Y25">
            <v>11361.76901664142</v>
          </cell>
          <cell r="Z25">
            <v>12114.5136</v>
          </cell>
          <cell r="AA25">
            <v>3.4174977918437245E-3</v>
          </cell>
          <cell r="AB25">
            <v>3.5400000000000002E-3</v>
          </cell>
        </row>
        <row r="26">
          <cell r="X26">
            <v>12</v>
          </cell>
          <cell r="Y26">
            <v>11361.76901664142</v>
          </cell>
          <cell r="Z26">
            <v>12114.5136</v>
          </cell>
          <cell r="AA26">
            <v>3.4174977918437245E-3</v>
          </cell>
          <cell r="AB26">
            <v>3.5400000000000002E-3</v>
          </cell>
        </row>
        <row r="27">
          <cell r="X27">
            <v>12</v>
          </cell>
          <cell r="Y27">
            <v>13371.361446847768</v>
          </cell>
          <cell r="Z27">
            <v>14089.2413</v>
          </cell>
          <cell r="AA27">
            <v>3.4790649640041725E-3</v>
          </cell>
          <cell r="AB27">
            <v>3.5999999999999999E-3</v>
          </cell>
        </row>
        <row r="28">
          <cell r="X28">
            <v>11</v>
          </cell>
          <cell r="Y28">
            <v>13371.361446847768</v>
          </cell>
          <cell r="Z28">
            <v>14089.2413</v>
          </cell>
          <cell r="AA28">
            <v>3.4790649640041725E-3</v>
          </cell>
          <cell r="AB28">
            <v>3.5999999999999999E-3</v>
          </cell>
        </row>
        <row r="29">
          <cell r="X29">
            <v>11</v>
          </cell>
          <cell r="Y29">
            <v>14856.310883761333</v>
          </cell>
          <cell r="Z29">
            <v>15506.7163</v>
          </cell>
          <cell r="AA29">
            <v>3.4999149437201344E-3</v>
          </cell>
          <cell r="AB29">
            <v>3.627E-3</v>
          </cell>
        </row>
        <row r="30">
          <cell r="X30">
            <v>10</v>
          </cell>
          <cell r="Y30">
            <v>14856.310883761333</v>
          </cell>
          <cell r="Z30">
            <v>15506.7163</v>
          </cell>
          <cell r="AA30">
            <v>3.4999149437201344E-3</v>
          </cell>
          <cell r="AB30">
            <v>3.627E-3</v>
          </cell>
        </row>
        <row r="31">
          <cell r="X31">
            <v>10</v>
          </cell>
          <cell r="Y31">
            <v>16092.360405684569</v>
          </cell>
          <cell r="Z31">
            <v>16710.437399999999</v>
          </cell>
          <cell r="AA31">
            <v>3.4809164272119331E-3</v>
          </cell>
          <cell r="AB31">
            <v>3.617E-3</v>
          </cell>
        </row>
        <row r="32">
          <cell r="A32">
            <v>0</v>
          </cell>
          <cell r="B32">
            <v>0</v>
          </cell>
          <cell r="X32">
            <v>9</v>
          </cell>
          <cell r="Y32">
            <v>16092.360405684569</v>
          </cell>
          <cell r="Z32">
            <v>16710.437399999999</v>
          </cell>
          <cell r="AA32">
            <v>3.4809164272119331E-3</v>
          </cell>
          <cell r="AB32">
            <v>3.617E-3</v>
          </cell>
        </row>
        <row r="33">
          <cell r="A33">
            <v>73.222749531528677</v>
          </cell>
          <cell r="B33">
            <v>0.17388597958671814</v>
          </cell>
          <cell r="X33">
            <v>9</v>
          </cell>
          <cell r="Y33">
            <v>17301.189486410804</v>
          </cell>
          <cell r="Z33">
            <v>17926.287899999999</v>
          </cell>
          <cell r="AA33">
            <v>3.4492467580164573E-3</v>
          </cell>
          <cell r="AB33">
            <v>3.5469999999999998E-3</v>
          </cell>
        </row>
        <row r="34">
          <cell r="A34">
            <v>92.2300328377695</v>
          </cell>
          <cell r="B34">
            <v>0.21902359184702844</v>
          </cell>
          <cell r="X34">
            <v>8</v>
          </cell>
          <cell r="Y34">
            <v>17301.189486410804</v>
          </cell>
          <cell r="Z34">
            <v>17926.287899999999</v>
          </cell>
          <cell r="AA34">
            <v>3.4492467580164573E-3</v>
          </cell>
          <cell r="AB34">
            <v>3.5469999999999998E-3</v>
          </cell>
        </row>
        <row r="35">
          <cell r="X35">
            <v>8</v>
          </cell>
          <cell r="Y35">
            <v>18584.88656614751</v>
          </cell>
          <cell r="Z35">
            <v>19234.180199999999</v>
          </cell>
          <cell r="AA35">
            <v>3.3588985078595399E-3</v>
          </cell>
          <cell r="AB35">
            <v>3.457E-3</v>
          </cell>
        </row>
        <row r="36">
          <cell r="X36">
            <v>7</v>
          </cell>
          <cell r="Y36">
            <v>18584.88656614751</v>
          </cell>
          <cell r="Z36">
            <v>19234.180199999999</v>
          </cell>
          <cell r="AA36">
            <v>3.3588985078595399E-3</v>
          </cell>
          <cell r="AB36">
            <v>3.457E-3</v>
          </cell>
        </row>
        <row r="37">
          <cell r="X37">
            <v>7</v>
          </cell>
          <cell r="Y37">
            <v>19958.932963370662</v>
          </cell>
          <cell r="Z37">
            <v>20624.271000000001</v>
          </cell>
          <cell r="AA37">
            <v>3.2327142389328056E-3</v>
          </cell>
          <cell r="AB37">
            <v>3.3219999999999999E-3</v>
          </cell>
        </row>
        <row r="38">
          <cell r="X38">
            <v>6</v>
          </cell>
          <cell r="Y38">
            <v>19958.932963370662</v>
          </cell>
          <cell r="Z38">
            <v>20624.271000000001</v>
          </cell>
          <cell r="AA38">
            <v>3.2327142389328056E-3</v>
          </cell>
          <cell r="AB38">
            <v>3.3219999999999999E-3</v>
          </cell>
        </row>
        <row r="39">
          <cell r="X39">
            <v>6</v>
          </cell>
          <cell r="Y39">
            <v>21453.780418781032</v>
          </cell>
          <cell r="Z39">
            <v>22118.6142</v>
          </cell>
          <cell r="AA39">
            <v>2.9981525704130358E-3</v>
          </cell>
          <cell r="AB39">
            <v>3.1189999999999998E-3</v>
          </cell>
        </row>
        <row r="40">
          <cell r="X40">
            <v>5</v>
          </cell>
          <cell r="Y40">
            <v>21453.780418781032</v>
          </cell>
          <cell r="Z40">
            <v>22118.6142</v>
          </cell>
          <cell r="AA40">
            <v>2.9981525704130358E-3</v>
          </cell>
          <cell r="AB40">
            <v>3.1189999999999998E-3</v>
          </cell>
        </row>
        <row r="41">
          <cell r="X41">
            <v>5</v>
          </cell>
          <cell r="Y41">
            <v>23063.738566836393</v>
          </cell>
          <cell r="Z41">
            <v>23713.564900000001</v>
          </cell>
          <cell r="AA41">
            <v>2.8089897890518183E-3</v>
          </cell>
          <cell r="AB41">
            <v>2.875E-3</v>
          </cell>
        </row>
        <row r="42">
          <cell r="X42">
            <v>4</v>
          </cell>
          <cell r="Y42">
            <v>23063.738566836393</v>
          </cell>
          <cell r="Z42">
            <v>23713.564900000001</v>
          </cell>
          <cell r="AA42">
            <v>2.8089897890518183E-3</v>
          </cell>
          <cell r="AB42">
            <v>2.875E-3</v>
          </cell>
        </row>
        <row r="43">
          <cell r="X43">
            <v>4</v>
          </cell>
          <cell r="Y43">
            <v>24699.023027185012</v>
          </cell>
          <cell r="Z43">
            <v>25299.257000000001</v>
          </cell>
          <cell r="AA43">
            <v>2.4753873680232901E-3</v>
          </cell>
          <cell r="AB43">
            <v>2.5560000000000001E-3</v>
          </cell>
        </row>
        <row r="44">
          <cell r="X44">
            <v>3</v>
          </cell>
          <cell r="Y44">
            <v>24699.023027185012</v>
          </cell>
          <cell r="Z44">
            <v>25299.257000000001</v>
          </cell>
          <cell r="AA44">
            <v>2.4753873680232901E-3</v>
          </cell>
          <cell r="AB44">
            <v>2.5560000000000001E-3</v>
          </cell>
        </row>
        <row r="45">
          <cell r="X45">
            <v>3</v>
          </cell>
          <cell r="Y45">
            <v>26234.768636262033</v>
          </cell>
          <cell r="Z45">
            <v>26717.387500000001</v>
          </cell>
          <cell r="AA45">
            <v>2.108549070059132E-3</v>
          </cell>
          <cell r="AB45">
            <v>2.1320000000000002E-3</v>
          </cell>
        </row>
        <row r="46">
          <cell r="X46">
            <v>2</v>
          </cell>
          <cell r="Y46">
            <v>26234.768636262033</v>
          </cell>
          <cell r="Z46">
            <v>26717.387500000001</v>
          </cell>
          <cell r="AA46">
            <v>2.108549070059132E-3</v>
          </cell>
          <cell r="AB46">
            <v>2.1320000000000002E-3</v>
          </cell>
        </row>
        <row r="47">
          <cell r="X47">
            <v>2</v>
          </cell>
          <cell r="Y47">
            <v>27452.845118683599</v>
          </cell>
          <cell r="Z47">
            <v>27745.806799999998</v>
          </cell>
          <cell r="AA47">
            <v>1.5854112150852542E-3</v>
          </cell>
          <cell r="AB47">
            <v>1.6080000000000001E-3</v>
          </cell>
        </row>
        <row r="48">
          <cell r="X48">
            <v>1</v>
          </cell>
          <cell r="Y48">
            <v>27452.845118683599</v>
          </cell>
          <cell r="Z48">
            <v>27745.806799999998</v>
          </cell>
          <cell r="AA48">
            <v>1.5854112150852542E-3</v>
          </cell>
          <cell r="AB48">
            <v>1.6080000000000001E-3</v>
          </cell>
        </row>
        <row r="49">
          <cell r="X49">
            <v>1</v>
          </cell>
          <cell r="Y49">
            <v>28262.176735206689</v>
          </cell>
          <cell r="Z49">
            <v>28304.697400000001</v>
          </cell>
          <cell r="AA49">
            <v>8.8786117911060568E-4</v>
          </cell>
          <cell r="AB49">
            <v>8.0999999999999996E-4</v>
          </cell>
        </row>
        <row r="50">
          <cell r="X50">
            <v>0</v>
          </cell>
          <cell r="Y50">
            <v>28262.176735206689</v>
          </cell>
          <cell r="Z50">
            <v>28304.697400000001</v>
          </cell>
          <cell r="AA50">
            <v>8.8786117911060568E-4</v>
          </cell>
          <cell r="AB50">
            <v>8.0999999999999996E-4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950B-9C5E-4C13-818B-7FBB4A2922D0}">
  <dimension ref="A1:AK50"/>
  <sheetViews>
    <sheetView tabSelected="1" workbookViewId="0">
      <selection activeCell="T26" sqref="T26"/>
    </sheetView>
  </sheetViews>
  <sheetFormatPr defaultRowHeight="15"/>
  <cols>
    <col min="1" max="1" width="8.5703125" customWidth="1"/>
    <col min="2" max="2" width="9.5703125" customWidth="1"/>
    <col min="3" max="3" width="13.42578125" customWidth="1"/>
    <col min="5" max="6" width="11.7109375" bestFit="1" customWidth="1"/>
    <col min="7" max="7" width="13.42578125" customWidth="1"/>
    <col min="12" max="12" width="11.42578125" customWidth="1"/>
  </cols>
  <sheetData>
    <row r="1" spans="1:37" ht="16.5" thickTop="1" thickBo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3"/>
      <c r="AB1" s="3"/>
      <c r="AC1" s="6"/>
      <c r="AD1">
        <v>1</v>
      </c>
      <c r="AE1" s="7">
        <v>0.63900000000000001</v>
      </c>
      <c r="AF1" s="7">
        <v>0.312</v>
      </c>
      <c r="AH1" t="s">
        <v>2</v>
      </c>
    </row>
    <row r="2" spans="1:37" ht="16.5" thickTop="1" thickBot="1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 t="s">
        <v>10</v>
      </c>
      <c r="I2" s="9" t="s">
        <v>11</v>
      </c>
      <c r="J2" s="5" t="s">
        <v>12</v>
      </c>
      <c r="K2" s="11" t="s">
        <v>13</v>
      </c>
      <c r="L2" s="12" t="s">
        <v>14</v>
      </c>
      <c r="M2" s="13" t="s">
        <v>15</v>
      </c>
      <c r="N2" s="5"/>
      <c r="O2" s="10" t="s">
        <v>16</v>
      </c>
      <c r="P2" s="14"/>
      <c r="Q2" s="14"/>
      <c r="R2" s="9" t="s">
        <v>17</v>
      </c>
      <c r="S2" s="15"/>
      <c r="T2" s="16"/>
      <c r="U2" s="5" t="s">
        <v>18</v>
      </c>
      <c r="V2" s="5"/>
      <c r="W2" s="5" t="s">
        <v>19</v>
      </c>
      <c r="X2" s="5"/>
      <c r="Y2" s="5"/>
      <c r="Z2" s="17" t="s">
        <v>20</v>
      </c>
      <c r="AA2" s="18"/>
      <c r="AB2" s="18"/>
      <c r="AC2" s="19"/>
      <c r="AD2">
        <v>0.9</v>
      </c>
      <c r="AE2" s="20">
        <v>0.373</v>
      </c>
      <c r="AF2" s="20">
        <v>6.6000000000000003E-2</v>
      </c>
      <c r="AH2" s="21" t="s">
        <v>21</v>
      </c>
      <c r="AI2" s="21" t="s">
        <v>21</v>
      </c>
    </row>
    <row r="3" spans="1:37" ht="18" thickBot="1">
      <c r="A3" s="22"/>
      <c r="B3" s="23"/>
      <c r="C3" s="23" t="s">
        <v>22</v>
      </c>
      <c r="D3" s="23" t="s">
        <v>23</v>
      </c>
      <c r="E3" s="23" t="s">
        <v>24</v>
      </c>
      <c r="F3" s="23"/>
      <c r="G3" s="23"/>
      <c r="H3" s="24"/>
      <c r="I3" s="24"/>
      <c r="J3" s="25"/>
      <c r="K3" s="26"/>
      <c r="L3" s="27"/>
      <c r="M3" s="25" t="s">
        <v>25</v>
      </c>
      <c r="N3" s="25" t="s">
        <v>26</v>
      </c>
      <c r="O3" s="25" t="s">
        <v>25</v>
      </c>
      <c r="P3" s="25" t="s">
        <v>26</v>
      </c>
      <c r="Q3" s="25" t="s">
        <v>27</v>
      </c>
      <c r="R3" s="25" t="s">
        <v>25</v>
      </c>
      <c r="S3" s="26" t="s">
        <v>26</v>
      </c>
      <c r="T3" s="24" t="s">
        <v>27</v>
      </c>
      <c r="U3" s="25" t="s">
        <v>25</v>
      </c>
      <c r="V3" s="25" t="s">
        <v>26</v>
      </c>
      <c r="W3" s="25" t="s">
        <v>25</v>
      </c>
      <c r="X3" s="25" t="s">
        <v>26</v>
      </c>
      <c r="Y3" s="25" t="s">
        <v>27</v>
      </c>
      <c r="Z3" s="25" t="s">
        <v>28</v>
      </c>
      <c r="AA3" s="28" t="s">
        <v>29</v>
      </c>
      <c r="AB3" s="29" t="s">
        <v>30</v>
      </c>
      <c r="AC3" s="30" t="s">
        <v>31</v>
      </c>
      <c r="AD3">
        <v>0.8</v>
      </c>
      <c r="AE3" s="31">
        <v>7.6999999999999999E-2</v>
      </c>
      <c r="AF3" s="31">
        <v>-0.18099999999999999</v>
      </c>
      <c r="AH3" s="21" t="s">
        <v>23</v>
      </c>
      <c r="AI3" s="21" t="s">
        <v>23</v>
      </c>
    </row>
    <row r="4" spans="1:37" ht="15.75" thickBot="1">
      <c r="A4" s="32" t="s">
        <v>32</v>
      </c>
      <c r="B4" s="33">
        <v>48.800000000000011</v>
      </c>
      <c r="C4" s="33">
        <v>972031.01</v>
      </c>
      <c r="D4" s="34">
        <v>2344.8951999999999</v>
      </c>
      <c r="E4" s="33">
        <v>108.1</v>
      </c>
      <c r="F4">
        <f>C4*E4</f>
        <v>105076552.18099999</v>
      </c>
      <c r="G4">
        <f>C4*E4^2</f>
        <v>11358775290.766098</v>
      </c>
      <c r="H4" s="35">
        <f>$B$29/$B$22*E4</f>
        <v>136.16077808536693</v>
      </c>
      <c r="I4" s="36">
        <f>(H4-H5)/1000/(B4-B5)</f>
        <v>3.1489541647864681E-3</v>
      </c>
      <c r="J4" s="35">
        <f>$B$30/$B$24*D4</f>
        <v>2953.5870024111205</v>
      </c>
      <c r="K4" s="37">
        <f>J4</f>
        <v>2953.5870024111205</v>
      </c>
      <c r="L4" s="38">
        <f t="shared" ref="L4:L19" si="0">B4/$B$4</f>
        <v>1</v>
      </c>
      <c r="M4" s="39">
        <f>AE1</f>
        <v>0.63900000000000001</v>
      </c>
      <c r="N4" s="39">
        <f>AF1</f>
        <v>0.312</v>
      </c>
      <c r="O4" s="40">
        <f t="shared" ref="O4:P18" si="1">M4*C$29</f>
        <v>8.9132935856811404</v>
      </c>
      <c r="P4" s="40">
        <f t="shared" si="1"/>
        <v>1.088007667735726</v>
      </c>
      <c r="Q4" s="41">
        <f>SQRT(H4^2+O4^2+P4^2)</f>
        <v>136.45654272346979</v>
      </c>
      <c r="R4" s="42">
        <f>(O4-O5)/1000/($B4-$B5)</f>
        <v>7.6032482034915736E-4</v>
      </c>
      <c r="S4" s="43">
        <f>(P4-P5)/1000/($B4-$B5)</f>
        <v>1.7578938515591422E-4</v>
      </c>
      <c r="T4" s="42">
        <f>SQRT(I4^2+R4^2+S4^2)</f>
        <v>3.2442114715749521E-3</v>
      </c>
      <c r="U4" s="44">
        <f t="shared" ref="U4:V18" si="2">$C4*M4*C$30/1000</f>
        <v>3229.4298505572278</v>
      </c>
      <c r="V4" s="44">
        <f t="shared" si="2"/>
        <v>1576.8108190514163</v>
      </c>
      <c r="W4" s="34">
        <f>U4</f>
        <v>3229.4298505572278</v>
      </c>
      <c r="X4" s="34">
        <f>V4</f>
        <v>1576.8108190514163</v>
      </c>
      <c r="Y4" s="34">
        <f>SQRT(K4^2+W4^2+X4^2)</f>
        <v>4651.7981146605653</v>
      </c>
      <c r="Z4" s="33">
        <v>140.4</v>
      </c>
      <c r="AA4">
        <v>5115.0295999999998</v>
      </c>
      <c r="AB4" s="34">
        <f>AA4</f>
        <v>5115.0295999999998</v>
      </c>
      <c r="AC4" s="45">
        <v>3.3679999999999999E-3</v>
      </c>
      <c r="AD4">
        <v>0.7</v>
      </c>
      <c r="AE4" s="46">
        <v>-0.20100000000000001</v>
      </c>
      <c r="AF4" s="46">
        <v>-0.31</v>
      </c>
      <c r="AH4" s="33">
        <v>-2344.8951999999999</v>
      </c>
      <c r="AI4" s="33">
        <v>5115.0295999999998</v>
      </c>
      <c r="AJ4">
        <f>ABS(AH4)</f>
        <v>2344.8951999999999</v>
      </c>
      <c r="AK4">
        <f>ABS(AI4)</f>
        <v>5115.0295999999998</v>
      </c>
    </row>
    <row r="5" spans="1:37" ht="15.75" thickBot="1">
      <c r="A5" s="32" t="s">
        <v>33</v>
      </c>
      <c r="B5" s="33">
        <v>45.600000000000009</v>
      </c>
      <c r="C5" s="33">
        <v>1028335.07</v>
      </c>
      <c r="D5" s="34">
        <v>2284.1460999999999</v>
      </c>
      <c r="E5" s="33">
        <v>100.1</v>
      </c>
      <c r="F5">
        <f t="shared" ref="F5:F18" si="3">C5*E5</f>
        <v>102936340.50699998</v>
      </c>
      <c r="G5">
        <f t="shared" ref="G5:G18" si="4">C5*E5^2</f>
        <v>10303927684.750698</v>
      </c>
      <c r="H5" s="35">
        <f t="shared" ref="H5:H18" si="5">$B$29/$B$22*E5</f>
        <v>126.08412475805022</v>
      </c>
      <c r="I5" s="36">
        <f t="shared" ref="I5:I18" si="6">(H5-H6)/1000/(B5-B6)</f>
        <v>3.1883160918462941E-3</v>
      </c>
      <c r="J5" s="35">
        <f t="shared" ref="J5:J18" si="7">$B$30/$B$24*D5</f>
        <v>2877.0685498303083</v>
      </c>
      <c r="K5" s="37">
        <f>K4+J5</f>
        <v>5830.6555522414292</v>
      </c>
      <c r="L5" s="38">
        <f t="shared" si="0"/>
        <v>0.93442622950819665</v>
      </c>
      <c r="M5" s="39">
        <f>AE2+($L5-$AD2)/($AD1-$AD2)*(AE1-AE2)</f>
        <v>0.46457377049180304</v>
      </c>
      <c r="N5" s="39">
        <f>AF2+($L5-$AD2)/($AD1-$AD2)*(AF1-AF2)</f>
        <v>0.15068852459016371</v>
      </c>
      <c r="O5" s="40">
        <f t="shared" si="1"/>
        <v>6.4802541605638346</v>
      </c>
      <c r="P5" s="40">
        <f t="shared" si="1"/>
        <v>0.52548163523680003</v>
      </c>
      <c r="Q5" s="41">
        <f t="shared" ref="Q5:Q18" si="8">SQRT(H5^2+O5^2+P5^2)</f>
        <v>126.25163896337365</v>
      </c>
      <c r="R5" s="42">
        <f t="shared" ref="R5:S18" si="9">(O5-O6)/1000/($B5-$B6)</f>
        <v>8.010565071535754E-4</v>
      </c>
      <c r="S5" s="43">
        <f t="shared" si="9"/>
        <v>1.7612881587928403E-4</v>
      </c>
      <c r="T5" s="42">
        <f t="shared" ref="T5:T18" si="10">SQRT(I5^2+R5^2+S5^2)</f>
        <v>3.2921227785369959E-3</v>
      </c>
      <c r="U5" s="44">
        <f t="shared" si="2"/>
        <v>2483.9005879034726</v>
      </c>
      <c r="V5" s="44">
        <f t="shared" si="2"/>
        <v>805.67466050350038</v>
      </c>
      <c r="W5" s="34">
        <f>W4+U5</f>
        <v>5713.3304384607</v>
      </c>
      <c r="X5" s="34">
        <f>X4+V5</f>
        <v>2382.4854795549168</v>
      </c>
      <c r="Y5" s="34">
        <f t="shared" ref="Y5:Y18" si="11">SQRT(K5^2+W5^2+X5^2)</f>
        <v>8503.8183146287502</v>
      </c>
      <c r="Z5" s="33">
        <v>129.9</v>
      </c>
      <c r="AA5">
        <v>4098.4416000000001</v>
      </c>
      <c r="AB5" s="34">
        <f>AB4+AA5</f>
        <v>9213.4712</v>
      </c>
      <c r="AC5" s="45">
        <v>3.4580000000000001E-3</v>
      </c>
      <c r="AD5">
        <v>0.6</v>
      </c>
      <c r="AE5" s="31">
        <v>-0.41899999999999998</v>
      </c>
      <c r="AF5" s="31">
        <v>-0.25800000000000001</v>
      </c>
      <c r="AH5" s="33">
        <v>-2344.8951999999999</v>
      </c>
      <c r="AI5" s="33">
        <v>5115.0295999999998</v>
      </c>
      <c r="AJ5">
        <f>ABS(AH6-AH5)</f>
        <v>2284.1460999999999</v>
      </c>
      <c r="AK5">
        <f>ABS(AI6-AI5)</f>
        <v>4098.4416000000001</v>
      </c>
    </row>
    <row r="6" spans="1:37" ht="15.75" thickBot="1">
      <c r="A6" s="32" t="s">
        <v>34</v>
      </c>
      <c r="B6" s="33">
        <v>42.400000000000006</v>
      </c>
      <c r="C6" s="33">
        <v>1028335.07</v>
      </c>
      <c r="D6" s="34">
        <v>2090.5475000000006</v>
      </c>
      <c r="E6" s="33">
        <v>92</v>
      </c>
      <c r="F6">
        <f t="shared" si="3"/>
        <v>94606826.439999998</v>
      </c>
      <c r="G6">
        <f t="shared" si="4"/>
        <v>8703828032.4799995</v>
      </c>
      <c r="H6" s="35">
        <f t="shared" si="5"/>
        <v>115.88151326414207</v>
      </c>
      <c r="I6" s="36">
        <f t="shared" si="6"/>
        <v>3.3064018730257919E-3</v>
      </c>
      <c r="J6" s="35">
        <f t="shared" si="7"/>
        <v>2633.2153027235772</v>
      </c>
      <c r="K6" s="37">
        <f t="shared" ref="K6:K18" si="12">K5+J6</f>
        <v>8463.8708549650073</v>
      </c>
      <c r="L6" s="38">
        <f t="shared" si="0"/>
        <v>0.86885245901639341</v>
      </c>
      <c r="M6" s="39">
        <f>AE3+($L6-$AD3)/($AD2-$AD3)*(AE2-AE3)</f>
        <v>0.28080327868852439</v>
      </c>
      <c r="N6" s="39">
        <f>AF3+($L6-$AD3)/($AD2-$AD3)*(AF2-AF3)</f>
        <v>-1.0934426229508354E-2</v>
      </c>
      <c r="O6" s="40">
        <f t="shared" si="1"/>
        <v>3.9168733376723912</v>
      </c>
      <c r="P6" s="40">
        <f t="shared" si="1"/>
        <v>-3.8130575576909402E-2</v>
      </c>
      <c r="Q6" s="41">
        <f t="shared" si="8"/>
        <v>115.94769711844947</v>
      </c>
      <c r="R6" s="42">
        <f t="shared" si="9"/>
        <v>8.4607573993740806E-4</v>
      </c>
      <c r="S6" s="43">
        <f t="shared" si="9"/>
        <v>1.7650397615248296E-4</v>
      </c>
      <c r="T6" s="42">
        <f t="shared" si="10"/>
        <v>3.4174977918437245E-3</v>
      </c>
      <c r="U6" s="44">
        <f t="shared" si="2"/>
        <v>1501.3491361797724</v>
      </c>
      <c r="V6" s="44">
        <f t="shared" si="2"/>
        <v>-58.462249625309319</v>
      </c>
      <c r="W6" s="34">
        <f t="shared" ref="W6:X18" si="13">W5+U6</f>
        <v>7214.6795746404723</v>
      </c>
      <c r="X6" s="34">
        <f t="shared" si="13"/>
        <v>2324.0232299296076</v>
      </c>
      <c r="Y6" s="34">
        <f t="shared" si="11"/>
        <v>11361.76901664142</v>
      </c>
      <c r="Z6" s="33">
        <v>119.2</v>
      </c>
      <c r="AA6">
        <v>2901.0424000000003</v>
      </c>
      <c r="AB6" s="34">
        <f t="shared" ref="AB6:AB18" si="14">AB5+AA6</f>
        <v>12114.5136</v>
      </c>
      <c r="AC6" s="45">
        <v>3.5400000000000002E-3</v>
      </c>
      <c r="AD6">
        <v>0.5</v>
      </c>
      <c r="AE6" s="46">
        <v>-0.54700000000000004</v>
      </c>
      <c r="AF6" s="46">
        <v>-6.2E-2</v>
      </c>
      <c r="AH6" s="33">
        <v>-4629.0412999999999</v>
      </c>
      <c r="AI6" s="33">
        <v>9213.4712</v>
      </c>
      <c r="AJ6">
        <f>ABS(AH8-AH7)</f>
        <v>2090.5475000000006</v>
      </c>
      <c r="AK6">
        <f>ABS(AI8-AI7)</f>
        <v>2901.0424000000003</v>
      </c>
    </row>
    <row r="7" spans="1:37" ht="15.75" thickBot="1">
      <c r="A7" s="32" t="s">
        <v>35</v>
      </c>
      <c r="B7" s="33">
        <v>39.200000000000003</v>
      </c>
      <c r="C7" s="33">
        <v>1028335.07</v>
      </c>
      <c r="D7" s="34">
        <v>1900.0996999999998</v>
      </c>
      <c r="E7" s="33">
        <v>83.6</v>
      </c>
      <c r="F7">
        <f t="shared" si="3"/>
        <v>85968811.851999983</v>
      </c>
      <c r="G7">
        <f t="shared" si="4"/>
        <v>7186992670.827199</v>
      </c>
      <c r="H7" s="35">
        <f t="shared" si="5"/>
        <v>105.30102727045953</v>
      </c>
      <c r="I7" s="36">
        <f t="shared" si="6"/>
        <v>3.3851257271454499E-3</v>
      </c>
      <c r="J7" s="35">
        <f t="shared" si="7"/>
        <v>2393.3307455298082</v>
      </c>
      <c r="K7" s="37">
        <f t="shared" si="12"/>
        <v>10857.201600494816</v>
      </c>
      <c r="L7" s="38">
        <f t="shared" si="0"/>
        <v>0.80327868852459006</v>
      </c>
      <c r="M7" s="39">
        <f t="shared" ref="M7:N9" si="15">AE3+($L7-$AD3)/($AD2-$AD3)*(AE2-AE3)</f>
        <v>8.6704918032786432E-2</v>
      </c>
      <c r="N7" s="39">
        <f t="shared" si="15"/>
        <v>-0.17290163934426267</v>
      </c>
      <c r="O7" s="40">
        <f t="shared" si="1"/>
        <v>1.2094309698726828</v>
      </c>
      <c r="P7" s="40">
        <f t="shared" si="1"/>
        <v>-0.60294329926485535</v>
      </c>
      <c r="Q7" s="41">
        <f t="shared" si="8"/>
        <v>105.30969854722345</v>
      </c>
      <c r="R7" s="42">
        <f t="shared" si="9"/>
        <v>7.9719771577210427E-4</v>
      </c>
      <c r="S7" s="43">
        <f t="shared" si="9"/>
        <v>9.6398325437124983E-5</v>
      </c>
      <c r="T7" s="42">
        <f t="shared" si="10"/>
        <v>3.4790649640041725E-3</v>
      </c>
      <c r="U7" s="44">
        <f t="shared" si="2"/>
        <v>463.57846816829829</v>
      </c>
      <c r="V7" s="44">
        <f t="shared" si="2"/>
        <v>-924.4398002970463</v>
      </c>
      <c r="W7" s="34">
        <f t="shared" si="13"/>
        <v>7678.2580428087704</v>
      </c>
      <c r="X7" s="34">
        <f t="shared" si="13"/>
        <v>1399.5834296325613</v>
      </c>
      <c r="Y7" s="34">
        <f t="shared" si="11"/>
        <v>13371.361446847768</v>
      </c>
      <c r="Z7" s="33">
        <v>108.2</v>
      </c>
      <c r="AA7">
        <v>1974.7276999999995</v>
      </c>
      <c r="AB7" s="34">
        <f t="shared" si="14"/>
        <v>14089.2413</v>
      </c>
      <c r="AC7" s="45">
        <v>3.5999999999999999E-3</v>
      </c>
      <c r="AD7">
        <v>0.4</v>
      </c>
      <c r="AE7" s="31">
        <v>-0.57299999999999995</v>
      </c>
      <c r="AF7" s="31">
        <v>0.16800000000000001</v>
      </c>
      <c r="AH7" s="33">
        <v>-4629.0412999999999</v>
      </c>
      <c r="AI7" s="33">
        <v>9213.4712</v>
      </c>
      <c r="AJ7">
        <f>ABS(AH10-AH9)</f>
        <v>1900.0996999999998</v>
      </c>
      <c r="AK7">
        <f>ABS(AI10-AI9)</f>
        <v>1974.7276999999995</v>
      </c>
    </row>
    <row r="8" spans="1:37" ht="15.75" thickBot="1">
      <c r="A8" s="32" t="s">
        <v>36</v>
      </c>
      <c r="B8" s="33">
        <v>36</v>
      </c>
      <c r="C8" s="33">
        <v>1028335.07</v>
      </c>
      <c r="D8" s="34">
        <v>1713.0030999999999</v>
      </c>
      <c r="E8" s="33">
        <v>75</v>
      </c>
      <c r="F8">
        <f t="shared" si="3"/>
        <v>77125130.25</v>
      </c>
      <c r="G8">
        <f t="shared" si="4"/>
        <v>5784384768.75</v>
      </c>
      <c r="H8" s="35">
        <f t="shared" si="5"/>
        <v>94.468624943594079</v>
      </c>
      <c r="I8" s="36">
        <f t="shared" si="6"/>
        <v>3.4244876542052806E-3</v>
      </c>
      <c r="J8" s="35">
        <f t="shared" si="7"/>
        <v>2157.6672984148531</v>
      </c>
      <c r="K8" s="37">
        <f t="shared" si="12"/>
        <v>13014.86889890967</v>
      </c>
      <c r="L8" s="38">
        <f t="shared" si="0"/>
        <v>0.73770491803278671</v>
      </c>
      <c r="M8" s="39">
        <f t="shared" si="15"/>
        <v>-9.618032786885293E-2</v>
      </c>
      <c r="N8" s="39">
        <f t="shared" si="15"/>
        <v>-0.26136065573770512</v>
      </c>
      <c r="O8" s="40">
        <f t="shared" si="1"/>
        <v>-1.3416017205980528</v>
      </c>
      <c r="P8" s="40">
        <f t="shared" si="1"/>
        <v>-0.91141794066365556</v>
      </c>
      <c r="Q8" s="41">
        <f t="shared" si="8"/>
        <v>94.482546941605676</v>
      </c>
      <c r="R8" s="42">
        <f t="shared" si="9"/>
        <v>7.2173690653444349E-4</v>
      </c>
      <c r="S8" s="43">
        <f t="shared" si="9"/>
        <v>3.7212326146317637E-5</v>
      </c>
      <c r="T8" s="42">
        <f t="shared" si="10"/>
        <v>3.4999149437201344E-3</v>
      </c>
      <c r="U8" s="44">
        <f t="shared" si="2"/>
        <v>-514.23990787359298</v>
      </c>
      <c r="V8" s="44">
        <f t="shared" si="2"/>
        <v>-1397.3967702793013</v>
      </c>
      <c r="W8" s="34">
        <f t="shared" si="13"/>
        <v>7164.0181349351769</v>
      </c>
      <c r="X8" s="34">
        <f t="shared" si="13"/>
        <v>2.1866593532599836</v>
      </c>
      <c r="Y8" s="34">
        <f t="shared" si="11"/>
        <v>14856.310883761333</v>
      </c>
      <c r="Z8" s="33">
        <v>97.1</v>
      </c>
      <c r="AA8">
        <v>1417.4750000000004</v>
      </c>
      <c r="AB8" s="34">
        <f t="shared" si="14"/>
        <v>15506.7163</v>
      </c>
      <c r="AC8" s="45">
        <v>3.627E-3</v>
      </c>
      <c r="AD8">
        <v>0.3</v>
      </c>
      <c r="AE8" s="46">
        <v>-0.501</v>
      </c>
      <c r="AF8" s="46">
        <v>0.315</v>
      </c>
      <c r="AH8" s="33">
        <v>-6719.5888000000004</v>
      </c>
      <c r="AI8" s="33">
        <v>12114.5136</v>
      </c>
      <c r="AJ8">
        <f>ABS(AH12-AH11)</f>
        <v>1713.0030999999999</v>
      </c>
      <c r="AK8">
        <f>ABS(AI12-AI11)</f>
        <v>1417.4750000000004</v>
      </c>
    </row>
    <row r="9" spans="1:37" ht="15.75" thickBot="1">
      <c r="A9" s="32" t="s">
        <v>37</v>
      </c>
      <c r="B9" s="33">
        <v>32.799999999999997</v>
      </c>
      <c r="C9" s="33">
        <v>1028335.07</v>
      </c>
      <c r="D9" s="34">
        <v>1529.4891000000007</v>
      </c>
      <c r="E9" s="33">
        <v>66.3</v>
      </c>
      <c r="F9">
        <f t="shared" si="3"/>
        <v>68178615.140999988</v>
      </c>
      <c r="G9">
        <f t="shared" si="4"/>
        <v>4520242183.848299</v>
      </c>
      <c r="H9" s="35">
        <f t="shared" si="5"/>
        <v>83.510264450137171</v>
      </c>
      <c r="I9" s="36">
        <f t="shared" si="6"/>
        <v>3.4244876542052845E-3</v>
      </c>
      <c r="J9" s="35">
        <f t="shared" si="7"/>
        <v>1926.5164285762044</v>
      </c>
      <c r="K9" s="37">
        <f t="shared" si="12"/>
        <v>14941.385327485874</v>
      </c>
      <c r="L9" s="38">
        <f t="shared" si="0"/>
        <v>0.67213114754098335</v>
      </c>
      <c r="M9" s="39">
        <f t="shared" si="15"/>
        <v>-0.26175409836065622</v>
      </c>
      <c r="N9" s="39">
        <f t="shared" si="15"/>
        <v>-0.29550819672131134</v>
      </c>
      <c r="O9" s="40">
        <f t="shared" si="1"/>
        <v>-3.6511598215082741</v>
      </c>
      <c r="P9" s="40">
        <f t="shared" si="1"/>
        <v>-1.0304973843318721</v>
      </c>
      <c r="Q9" s="41">
        <f t="shared" si="8"/>
        <v>83.596394428427089</v>
      </c>
      <c r="R9" s="42">
        <f t="shared" si="9"/>
        <v>6.2312334900795573E-4</v>
      </c>
      <c r="S9" s="43">
        <f t="shared" si="9"/>
        <v>-3.7158731821575344E-5</v>
      </c>
      <c r="T9" s="42">
        <f t="shared" si="10"/>
        <v>3.4809164272119331E-3</v>
      </c>
      <c r="U9" s="44">
        <f t="shared" si="2"/>
        <v>-1399.500359471218</v>
      </c>
      <c r="V9" s="44">
        <f t="shared" si="2"/>
        <v>-1579.9707822276016</v>
      </c>
      <c r="W9" s="34">
        <f t="shared" si="13"/>
        <v>5764.517775463959</v>
      </c>
      <c r="X9" s="34">
        <f t="shared" si="13"/>
        <v>-1577.7841228743416</v>
      </c>
      <c r="Y9" s="34">
        <f t="shared" si="11"/>
        <v>16092.360405684569</v>
      </c>
      <c r="Z9" s="33">
        <v>85.8</v>
      </c>
      <c r="AA9">
        <v>1203.7210999999988</v>
      </c>
      <c r="AB9" s="34">
        <f t="shared" si="14"/>
        <v>16710.437399999999</v>
      </c>
      <c r="AC9" s="45">
        <v>3.617E-3</v>
      </c>
      <c r="AD9">
        <v>0.2</v>
      </c>
      <c r="AE9" s="31">
        <v>-0.35599999999999998</v>
      </c>
      <c r="AF9" s="31">
        <v>0.32100000000000001</v>
      </c>
      <c r="AH9" s="33">
        <v>-6719.5888000000004</v>
      </c>
      <c r="AI9" s="33">
        <v>12114.5136</v>
      </c>
      <c r="AJ9">
        <f>ABS(AH14-AH13)</f>
        <v>1529.4891000000007</v>
      </c>
      <c r="AK9">
        <f>ABS(AI14-AI13)</f>
        <v>1203.7210999999988</v>
      </c>
    </row>
    <row r="10" spans="1:37" ht="15.75" thickBot="1">
      <c r="A10" s="32" t="s">
        <v>38</v>
      </c>
      <c r="B10" s="33">
        <v>29.599999999999998</v>
      </c>
      <c r="C10" s="33">
        <v>1040186.87</v>
      </c>
      <c r="D10" s="34">
        <v>1365.3860999999997</v>
      </c>
      <c r="E10" s="33">
        <v>57.6</v>
      </c>
      <c r="F10">
        <f t="shared" si="3"/>
        <v>59914763.711999997</v>
      </c>
      <c r="G10">
        <f t="shared" si="4"/>
        <v>3451090389.8112001</v>
      </c>
      <c r="H10" s="35">
        <f t="shared" si="5"/>
        <v>72.551903956680263</v>
      </c>
      <c r="I10" s="36">
        <f t="shared" si="6"/>
        <v>3.4244876542052888E-3</v>
      </c>
      <c r="J10" s="35">
        <f t="shared" si="7"/>
        <v>1719.8152984546216</v>
      </c>
      <c r="K10" s="37">
        <f t="shared" si="12"/>
        <v>16661.200625940495</v>
      </c>
      <c r="L10" s="38">
        <f t="shared" si="0"/>
        <v>0.60655737704918011</v>
      </c>
      <c r="M10" s="39">
        <f t="shared" ref="M10:N12" si="16">AE5+($L10-$AD5)/($AD4-$AD5)*(AE4-AE5)</f>
        <v>-0.4047049180327873</v>
      </c>
      <c r="N10" s="39">
        <f t="shared" si="16"/>
        <v>-0.26140983606557366</v>
      </c>
      <c r="O10" s="40">
        <f t="shared" si="1"/>
        <v>-5.645154538333732</v>
      </c>
      <c r="P10" s="40">
        <f t="shared" si="1"/>
        <v>-0.91158944250283103</v>
      </c>
      <c r="Q10" s="41">
        <f t="shared" si="8"/>
        <v>72.776902467834589</v>
      </c>
      <c r="R10" s="42">
        <f t="shared" si="9"/>
        <v>3.9159586611967788E-4</v>
      </c>
      <c r="S10" s="43">
        <f t="shared" si="9"/>
        <v>-1.2976972497688645E-4</v>
      </c>
      <c r="T10" s="42">
        <f t="shared" si="10"/>
        <v>3.4492467580164573E-3</v>
      </c>
      <c r="U10" s="44">
        <f t="shared" si="2"/>
        <v>-2188.7427800837113</v>
      </c>
      <c r="V10" s="44">
        <f t="shared" si="2"/>
        <v>-1413.7680710987486</v>
      </c>
      <c r="W10" s="34">
        <f t="shared" si="13"/>
        <v>3575.7749953802477</v>
      </c>
      <c r="X10" s="34">
        <f t="shared" si="13"/>
        <v>-2991.5521939730902</v>
      </c>
      <c r="Y10" s="34">
        <f t="shared" si="11"/>
        <v>17301.189486410804</v>
      </c>
      <c r="Z10" s="33">
        <v>74.599999999999994</v>
      </c>
      <c r="AA10">
        <v>1215.8505000000005</v>
      </c>
      <c r="AB10" s="34">
        <f t="shared" si="14"/>
        <v>17926.287899999999</v>
      </c>
      <c r="AC10" s="45">
        <v>3.5469999999999998E-3</v>
      </c>
      <c r="AD10">
        <v>0.1</v>
      </c>
      <c r="AE10" s="46">
        <v>-0.17299999999999999</v>
      </c>
      <c r="AF10" s="46">
        <v>0.19400000000000001</v>
      </c>
      <c r="AH10" s="33">
        <v>-8619.6885000000002</v>
      </c>
      <c r="AI10" s="33">
        <v>14089.2413</v>
      </c>
      <c r="AJ10">
        <f>ABS(AH16-AH15)</f>
        <v>1365.3860999999997</v>
      </c>
      <c r="AK10">
        <f>ABS(AI16-AI15)</f>
        <v>1215.8505000000005</v>
      </c>
    </row>
    <row r="11" spans="1:37" ht="15.75" thickBot="1">
      <c r="A11" s="32" t="s">
        <v>39</v>
      </c>
      <c r="B11" s="33">
        <v>26.4</v>
      </c>
      <c r="C11" s="33">
        <v>1054186.07</v>
      </c>
      <c r="D11" s="34">
        <v>1203.868199999999</v>
      </c>
      <c r="E11" s="33">
        <v>48.9</v>
      </c>
      <c r="F11">
        <f t="shared" si="3"/>
        <v>51549698.822999999</v>
      </c>
      <c r="G11">
        <f t="shared" si="4"/>
        <v>2520780272.4447002</v>
      </c>
      <c r="H11" s="35">
        <f t="shared" si="5"/>
        <v>61.593543463223341</v>
      </c>
      <c r="I11" s="36">
        <f t="shared" si="6"/>
        <v>3.3457638000856244E-3</v>
      </c>
      <c r="J11" s="35">
        <f t="shared" si="7"/>
        <v>1516.3703128975949</v>
      </c>
      <c r="K11" s="37">
        <f t="shared" si="12"/>
        <v>18177.570938838089</v>
      </c>
      <c r="L11" s="38">
        <f t="shared" si="0"/>
        <v>0.54098360655737687</v>
      </c>
      <c r="M11" s="39">
        <f t="shared" si="16"/>
        <v>-0.49454098360655763</v>
      </c>
      <c r="N11" s="39">
        <f t="shared" si="16"/>
        <v>-0.14232786885245868</v>
      </c>
      <c r="O11" s="40">
        <f t="shared" si="1"/>
        <v>-6.8982613099167009</v>
      </c>
      <c r="P11" s="40">
        <f t="shared" si="1"/>
        <v>-0.49632632257679443</v>
      </c>
      <c r="Q11" s="41">
        <f t="shared" si="8"/>
        <v>61.980617496717137</v>
      </c>
      <c r="R11" s="42">
        <f t="shared" si="9"/>
        <v>2.5653816776818276E-4</v>
      </c>
      <c r="S11" s="43">
        <f t="shared" si="9"/>
        <v>-1.4917087053372796E-4</v>
      </c>
      <c r="T11" s="42">
        <f t="shared" si="10"/>
        <v>3.3588985078595399E-3</v>
      </c>
      <c r="U11" s="44">
        <f t="shared" si="2"/>
        <v>-2710.5937862519104</v>
      </c>
      <c r="V11" s="44">
        <f t="shared" si="2"/>
        <v>-780.10326688895213</v>
      </c>
      <c r="W11" s="34">
        <f t="shared" si="13"/>
        <v>865.18120912833729</v>
      </c>
      <c r="X11" s="34">
        <f t="shared" si="13"/>
        <v>-3771.6554608620422</v>
      </c>
      <c r="Y11" s="34">
        <f t="shared" si="11"/>
        <v>18584.88656614751</v>
      </c>
      <c r="Z11" s="33">
        <v>63.6</v>
      </c>
      <c r="AA11">
        <v>1307.8922999999995</v>
      </c>
      <c r="AB11" s="34">
        <f t="shared" si="14"/>
        <v>19234.180199999999</v>
      </c>
      <c r="AC11" s="45">
        <v>3.457E-3</v>
      </c>
      <c r="AD11">
        <v>0</v>
      </c>
      <c r="AE11" s="31">
        <v>0</v>
      </c>
      <c r="AF11" s="31">
        <v>0</v>
      </c>
      <c r="AH11" s="33">
        <v>-8619.6885000000002</v>
      </c>
      <c r="AI11" s="33">
        <v>14089.2413</v>
      </c>
      <c r="AJ11">
        <f>ABS(AH18-AH17)</f>
        <v>1203.868199999999</v>
      </c>
      <c r="AK11">
        <f>ABS(AI18-AI17)</f>
        <v>1307.8922999999995</v>
      </c>
    </row>
    <row r="12" spans="1:37">
      <c r="A12" s="32" t="s">
        <v>40</v>
      </c>
      <c r="B12" s="33">
        <v>23.2</v>
      </c>
      <c r="C12" s="33">
        <v>1054186.07</v>
      </c>
      <c r="D12" s="34">
        <v>1028.6599000000006</v>
      </c>
      <c r="E12" s="33">
        <v>40.4</v>
      </c>
      <c r="F12">
        <f t="shared" si="3"/>
        <v>42589117.228</v>
      </c>
      <c r="G12">
        <f t="shared" si="4"/>
        <v>1720600336.0112</v>
      </c>
      <c r="H12" s="35">
        <f t="shared" si="5"/>
        <v>50.887099302949345</v>
      </c>
      <c r="I12" s="36">
        <f t="shared" si="6"/>
        <v>3.2276780189061313E-3</v>
      </c>
      <c r="J12" s="35">
        <f t="shared" si="7"/>
        <v>1295.6811505015339</v>
      </c>
      <c r="K12" s="37">
        <f t="shared" si="12"/>
        <v>19473.252089339621</v>
      </c>
      <c r="L12" s="38">
        <f t="shared" si="0"/>
        <v>0.47540983606557363</v>
      </c>
      <c r="M12" s="39">
        <f t="shared" si="16"/>
        <v>-0.55339344262295087</v>
      </c>
      <c r="N12" s="39">
        <f t="shared" si="16"/>
        <v>-5.442622950819348E-3</v>
      </c>
      <c r="O12" s="40">
        <f t="shared" si="1"/>
        <v>-7.7191834467748857</v>
      </c>
      <c r="P12" s="40">
        <f t="shared" si="1"/>
        <v>-1.8979536868865044E-2</v>
      </c>
      <c r="Q12" s="41">
        <f t="shared" si="8"/>
        <v>51.46924352247671</v>
      </c>
      <c r="R12" s="42">
        <f t="shared" si="9"/>
        <v>7.4317463643150687E-5</v>
      </c>
      <c r="S12" s="43">
        <f t="shared" si="9"/>
        <v>-1.6435592921081399E-4</v>
      </c>
      <c r="T12" s="42">
        <f t="shared" si="10"/>
        <v>3.2327142389328056E-3</v>
      </c>
      <c r="U12" s="44">
        <f t="shared" si="2"/>
        <v>-3033.1658581398783</v>
      </c>
      <c r="V12" s="44">
        <f t="shared" si="2"/>
        <v>-29.831177678774164</v>
      </c>
      <c r="W12" s="34">
        <f t="shared" si="13"/>
        <v>-2167.984649011541</v>
      </c>
      <c r="X12" s="34">
        <f t="shared" si="13"/>
        <v>-3801.4866385408163</v>
      </c>
      <c r="Y12" s="34">
        <f t="shared" si="11"/>
        <v>19958.932963370662</v>
      </c>
      <c r="Z12" s="33">
        <v>52.7</v>
      </c>
      <c r="AA12">
        <v>1390.0908000000018</v>
      </c>
      <c r="AB12" s="34">
        <f t="shared" si="14"/>
        <v>20624.271000000001</v>
      </c>
      <c r="AC12" s="45">
        <v>3.3219999999999999E-3</v>
      </c>
      <c r="AH12" s="33">
        <v>-10332.6916</v>
      </c>
      <c r="AI12" s="33">
        <v>15506.7163</v>
      </c>
      <c r="AJ12">
        <f>ABS(AH20-AH19)</f>
        <v>1028.6599000000006</v>
      </c>
      <c r="AK12">
        <f>ABS(AI20-AI19)</f>
        <v>1390.0908000000018</v>
      </c>
    </row>
    <row r="13" spans="1:37">
      <c r="A13" s="32" t="s">
        <v>41</v>
      </c>
      <c r="B13" s="33">
        <v>20</v>
      </c>
      <c r="C13" s="33">
        <v>1064382.06</v>
      </c>
      <c r="D13" s="34">
        <v>866.94310000000041</v>
      </c>
      <c r="E13" s="33">
        <v>32.200000000000003</v>
      </c>
      <c r="F13">
        <f t="shared" si="3"/>
        <v>34273102.332000002</v>
      </c>
      <c r="G13">
        <f t="shared" si="4"/>
        <v>1103593895.0904002</v>
      </c>
      <c r="H13" s="35">
        <f t="shared" si="5"/>
        <v>40.558529642449727</v>
      </c>
      <c r="I13" s="36">
        <f t="shared" si="6"/>
        <v>2.991506456547147E-3</v>
      </c>
      <c r="J13" s="35">
        <f t="shared" si="7"/>
        <v>1091.9856341511575</v>
      </c>
      <c r="K13" s="37">
        <f t="shared" si="12"/>
        <v>20565.23772349078</v>
      </c>
      <c r="L13" s="38">
        <f t="shared" si="0"/>
        <v>0.40983606557377039</v>
      </c>
      <c r="M13" s="39">
        <f t="shared" ref="M13:N15" si="17">AE7+($L13-$AD7)/($AD6-$AD7)*(AE6-AE7)</f>
        <v>-0.57044262295081971</v>
      </c>
      <c r="N13" s="39">
        <f t="shared" si="17"/>
        <v>0.14537704918032815</v>
      </c>
      <c r="O13" s="40">
        <f t="shared" si="1"/>
        <v>-7.9569993304329678</v>
      </c>
      <c r="P13" s="40">
        <f t="shared" si="1"/>
        <v>0.50695943660573961</v>
      </c>
      <c r="Q13" s="41">
        <f t="shared" si="8"/>
        <v>41.334793733274481</v>
      </c>
      <c r="R13" s="42">
        <f t="shared" si="9"/>
        <v>-1.6378425641355975E-4</v>
      </c>
      <c r="S13" s="43">
        <f t="shared" si="9"/>
        <v>-1.1394153440288806E-4</v>
      </c>
      <c r="T13" s="42">
        <f t="shared" si="10"/>
        <v>2.9981525704130358E-3</v>
      </c>
      <c r="U13" s="44">
        <f t="shared" si="2"/>
        <v>-3156.8532312407342</v>
      </c>
      <c r="V13" s="44">
        <f t="shared" si="2"/>
        <v>804.52264432689265</v>
      </c>
      <c r="W13" s="34">
        <f t="shared" si="13"/>
        <v>-5324.8378802522748</v>
      </c>
      <c r="X13" s="34">
        <f t="shared" si="13"/>
        <v>-2996.9639942139238</v>
      </c>
      <c r="Y13" s="34">
        <f t="shared" si="11"/>
        <v>21453.780418781032</v>
      </c>
      <c r="Z13" s="33">
        <v>42.3</v>
      </c>
      <c r="AA13">
        <v>1494.3431999999993</v>
      </c>
      <c r="AB13" s="34">
        <f t="shared" si="14"/>
        <v>22118.6142</v>
      </c>
      <c r="AC13" s="45">
        <v>3.1189999999999998E-3</v>
      </c>
      <c r="AH13" s="33">
        <v>-10332.6916</v>
      </c>
      <c r="AI13" s="33">
        <v>15506.7163</v>
      </c>
      <c r="AJ13">
        <f>ABS(AH22-AH21)</f>
        <v>866.94310000000041</v>
      </c>
      <c r="AK13">
        <f>ABS(AI22-AI21)</f>
        <v>1494.3431999999993</v>
      </c>
    </row>
    <row r="14" spans="1:37">
      <c r="A14" s="32" t="s">
        <v>42</v>
      </c>
      <c r="B14" s="33">
        <v>16.8</v>
      </c>
      <c r="C14" s="33">
        <v>1075270.33</v>
      </c>
      <c r="D14" s="34">
        <v>708.33659999999873</v>
      </c>
      <c r="E14" s="33">
        <v>24.6</v>
      </c>
      <c r="F14">
        <f t="shared" si="3"/>
        <v>26451650.118000004</v>
      </c>
      <c r="G14">
        <f t="shared" si="4"/>
        <v>650710592.90280008</v>
      </c>
      <c r="H14" s="35">
        <f t="shared" si="5"/>
        <v>30.98570898149886</v>
      </c>
      <c r="I14" s="36">
        <f t="shared" si="6"/>
        <v>2.7946968212479921E-3</v>
      </c>
      <c r="J14" s="35">
        <f t="shared" si="7"/>
        <v>892.20779465627334</v>
      </c>
      <c r="K14" s="37">
        <f t="shared" si="12"/>
        <v>21457.445518147055</v>
      </c>
      <c r="L14" s="38">
        <f t="shared" si="0"/>
        <v>0.34426229508196715</v>
      </c>
      <c r="M14" s="39">
        <f t="shared" si="17"/>
        <v>-0.53286885245901627</v>
      </c>
      <c r="N14" s="39">
        <f t="shared" si="17"/>
        <v>0.24993442622950829</v>
      </c>
      <c r="O14" s="40">
        <f t="shared" si="1"/>
        <v>-7.4328897099095768</v>
      </c>
      <c r="P14" s="40">
        <f t="shared" si="1"/>
        <v>0.87157234669498129</v>
      </c>
      <c r="Q14" s="41">
        <f t="shared" si="8"/>
        <v>31.876663076321872</v>
      </c>
      <c r="R14" s="42">
        <f t="shared" si="9"/>
        <v>-2.7361689258617654E-4</v>
      </c>
      <c r="S14" s="43">
        <f t="shared" si="9"/>
        <v>-7.2298744077843927E-5</v>
      </c>
      <c r="T14" s="42">
        <f t="shared" si="10"/>
        <v>2.8089897890518183E-3</v>
      </c>
      <c r="U14" s="44">
        <f t="shared" si="2"/>
        <v>-2979.0848628709236</v>
      </c>
      <c r="V14" s="44">
        <f t="shared" si="2"/>
        <v>1397.2966564937744</v>
      </c>
      <c r="W14" s="34">
        <f t="shared" si="13"/>
        <v>-8303.9227431231993</v>
      </c>
      <c r="X14" s="34">
        <f t="shared" si="13"/>
        <v>-1599.6673377201494</v>
      </c>
      <c r="Y14" s="34">
        <f t="shared" si="11"/>
        <v>23063.738566836393</v>
      </c>
      <c r="Z14" s="33">
        <v>32.4</v>
      </c>
      <c r="AA14">
        <v>1594.9507000000012</v>
      </c>
      <c r="AB14" s="34">
        <f t="shared" si="14"/>
        <v>23713.564900000001</v>
      </c>
      <c r="AC14" s="45">
        <v>2.875E-3</v>
      </c>
      <c r="AH14" s="33">
        <v>-11862.180700000001</v>
      </c>
      <c r="AI14" s="33">
        <v>16710.437399999999</v>
      </c>
      <c r="AJ14">
        <f>ABS(AH24-AH23)</f>
        <v>708.33659999999873</v>
      </c>
      <c r="AK14">
        <f>ABS(AI24-AI23)</f>
        <v>1594.9507000000012</v>
      </c>
    </row>
    <row r="15" spans="1:37">
      <c r="A15" s="32" t="s">
        <v>43</v>
      </c>
      <c r="B15" s="33">
        <v>13.600000000000001</v>
      </c>
      <c r="C15" s="33">
        <v>1075270.33</v>
      </c>
      <c r="D15" s="34">
        <v>547.68670000000202</v>
      </c>
      <c r="E15" s="33">
        <v>17.5</v>
      </c>
      <c r="F15">
        <f t="shared" si="3"/>
        <v>18817230.775000002</v>
      </c>
      <c r="G15">
        <f t="shared" si="4"/>
        <v>329301538.5625</v>
      </c>
      <c r="H15" s="35">
        <f t="shared" si="5"/>
        <v>22.042679153505286</v>
      </c>
      <c r="I15" s="36">
        <f t="shared" si="6"/>
        <v>2.440439477709513E-3</v>
      </c>
      <c r="J15" s="35">
        <f t="shared" si="7"/>
        <v>689.85612598526563</v>
      </c>
      <c r="K15" s="37">
        <f t="shared" si="12"/>
        <v>22147.30164413232</v>
      </c>
      <c r="L15" s="38">
        <f t="shared" si="0"/>
        <v>0.27868852459016391</v>
      </c>
      <c r="M15" s="39">
        <f t="shared" si="17"/>
        <v>-0.47009836065573768</v>
      </c>
      <c r="N15" s="39">
        <f t="shared" si="17"/>
        <v>0.31627868852459018</v>
      </c>
      <c r="O15" s="40">
        <f t="shared" si="1"/>
        <v>-6.557315653633812</v>
      </c>
      <c r="P15" s="40">
        <f t="shared" si="1"/>
        <v>1.1029283277440818</v>
      </c>
      <c r="Q15" s="41">
        <f t="shared" si="8"/>
        <v>23.023782133739626</v>
      </c>
      <c r="R15" s="42">
        <f t="shared" si="9"/>
        <v>-4.1446277800987879E-4</v>
      </c>
      <c r="S15" s="43">
        <f t="shared" si="9"/>
        <v>-4.2875459794124839E-6</v>
      </c>
      <c r="T15" s="42">
        <f t="shared" si="10"/>
        <v>2.4753873680232901E-3</v>
      </c>
      <c r="U15" s="44">
        <f t="shared" si="2"/>
        <v>-2628.1568228791452</v>
      </c>
      <c r="V15" s="44">
        <f t="shared" si="2"/>
        <v>1768.2044073025302</v>
      </c>
      <c r="W15" s="34">
        <f t="shared" si="13"/>
        <v>-10932.079566002345</v>
      </c>
      <c r="X15" s="34">
        <f t="shared" si="13"/>
        <v>168.53706958238081</v>
      </c>
      <c r="Y15" s="34">
        <f t="shared" si="11"/>
        <v>24699.023027185012</v>
      </c>
      <c r="Z15" s="33">
        <v>23.3</v>
      </c>
      <c r="AA15">
        <v>1585.6921000000002</v>
      </c>
      <c r="AB15" s="34">
        <f t="shared" si="14"/>
        <v>25299.257000000001</v>
      </c>
      <c r="AC15" s="45">
        <v>2.5560000000000001E-3</v>
      </c>
      <c r="AH15" s="33">
        <v>-11862.180700000001</v>
      </c>
      <c r="AI15" s="33">
        <v>16710.437399999999</v>
      </c>
      <c r="AJ15">
        <f>ABS(AH26-AH25)</f>
        <v>547.68670000000202</v>
      </c>
      <c r="AK15">
        <f>ABS(AI26-AI25)</f>
        <v>1585.6921000000002</v>
      </c>
    </row>
    <row r="16" spans="1:37">
      <c r="A16" s="32" t="s">
        <v>44</v>
      </c>
      <c r="B16" s="33">
        <v>10.4</v>
      </c>
      <c r="C16" s="33">
        <v>1099303.73</v>
      </c>
      <c r="D16" s="34">
        <v>403.93899999999849</v>
      </c>
      <c r="E16" s="33">
        <v>11.3</v>
      </c>
      <c r="F16">
        <f t="shared" si="3"/>
        <v>12422132.149</v>
      </c>
      <c r="G16">
        <f t="shared" si="4"/>
        <v>140370093.28370002</v>
      </c>
      <c r="H16" s="35">
        <f t="shared" si="5"/>
        <v>14.233272824834842</v>
      </c>
      <c r="I16" s="36">
        <f t="shared" si="6"/>
        <v>2.0468202071112049E-3</v>
      </c>
      <c r="J16" s="35">
        <f t="shared" si="7"/>
        <v>508.79415854787078</v>
      </c>
      <c r="K16" s="37">
        <f t="shared" si="12"/>
        <v>22656.095802680189</v>
      </c>
      <c r="L16" s="38">
        <f t="shared" si="0"/>
        <v>0.21311475409836061</v>
      </c>
      <c r="M16" s="39">
        <f t="shared" ref="M16:N18" si="18">AE9+($L16-$AD9)/($AD8-$AD9)*(AE8-AE9)</f>
        <v>-0.37501639344262289</v>
      </c>
      <c r="N16" s="39">
        <f t="shared" si="18"/>
        <v>0.32021311475409836</v>
      </c>
      <c r="O16" s="40">
        <f t="shared" si="1"/>
        <v>-5.2310347640021995</v>
      </c>
      <c r="P16" s="40">
        <f t="shared" si="1"/>
        <v>1.1166484748782017</v>
      </c>
      <c r="Q16" s="41">
        <f t="shared" si="8"/>
        <v>15.205153199650089</v>
      </c>
      <c r="R16" s="42">
        <f t="shared" si="9"/>
        <v>-5.013570431926397E-4</v>
      </c>
      <c r="S16" s="43">
        <f t="shared" si="9"/>
        <v>7.1744936055503192E-5</v>
      </c>
      <c r="T16" s="42">
        <f t="shared" si="10"/>
        <v>2.108549070059132E-3</v>
      </c>
      <c r="U16" s="44">
        <f t="shared" si="2"/>
        <v>-2143.4474047935537</v>
      </c>
      <c r="V16" s="44">
        <f t="shared" si="2"/>
        <v>1830.2132434793007</v>
      </c>
      <c r="W16" s="34">
        <f t="shared" si="13"/>
        <v>-13075.526970795898</v>
      </c>
      <c r="X16" s="34">
        <f t="shared" si="13"/>
        <v>1998.7503130616815</v>
      </c>
      <c r="Y16" s="34">
        <f t="shared" si="11"/>
        <v>26234.768636262033</v>
      </c>
      <c r="Z16" s="33">
        <v>15.2</v>
      </c>
      <c r="AA16">
        <v>1418.1304999999993</v>
      </c>
      <c r="AB16" s="34">
        <f t="shared" si="14"/>
        <v>26717.387500000001</v>
      </c>
      <c r="AC16" s="45">
        <v>2.1320000000000002E-3</v>
      </c>
      <c r="AH16" s="33">
        <v>-13227.566800000001</v>
      </c>
      <c r="AI16" s="33">
        <v>17926.287899999999</v>
      </c>
      <c r="AJ16">
        <f>ABS(AH28-AH27)</f>
        <v>403.93899999999849</v>
      </c>
      <c r="AK16">
        <f>ABS(AI28-AI27)</f>
        <v>1418.1304999999993</v>
      </c>
    </row>
    <row r="17" spans="1:37">
      <c r="A17" s="32" t="s">
        <v>45</v>
      </c>
      <c r="B17" s="33">
        <v>7.2</v>
      </c>
      <c r="C17" s="33">
        <v>1124358.75</v>
      </c>
      <c r="D17" s="34">
        <v>264.0627999999997</v>
      </c>
      <c r="E17" s="33">
        <v>6.1</v>
      </c>
      <c r="F17">
        <f t="shared" si="3"/>
        <v>6858588.375</v>
      </c>
      <c r="G17">
        <f t="shared" si="4"/>
        <v>41837389.087499991</v>
      </c>
      <c r="H17" s="35">
        <f t="shared" si="5"/>
        <v>7.6834481620789852</v>
      </c>
      <c r="I17" s="36">
        <f t="shared" si="6"/>
        <v>1.4957532282735731E-3</v>
      </c>
      <c r="J17" s="35">
        <f t="shared" si="7"/>
        <v>332.60866153007021</v>
      </c>
      <c r="K17" s="37">
        <f t="shared" si="12"/>
        <v>22988.704464210259</v>
      </c>
      <c r="L17" s="38">
        <f t="shared" si="0"/>
        <v>0.14754098360655735</v>
      </c>
      <c r="M17" s="39">
        <f t="shared" si="18"/>
        <v>-0.2599999999999999</v>
      </c>
      <c r="N17" s="39">
        <f t="shared" si="18"/>
        <v>0.25437704918032783</v>
      </c>
      <c r="O17" s="40">
        <f t="shared" si="1"/>
        <v>-3.6266922257857521</v>
      </c>
      <c r="P17" s="40">
        <f t="shared" si="1"/>
        <v>0.88706467950059154</v>
      </c>
      <c r="Q17" s="41">
        <f t="shared" si="8"/>
        <v>8.5425497309379015</v>
      </c>
      <c r="R17" s="42">
        <f t="shared" si="9"/>
        <v>-5.1522010852607326E-4</v>
      </c>
      <c r="S17" s="43">
        <f t="shared" si="9"/>
        <v>1.0391939567601142E-4</v>
      </c>
      <c r="T17" s="42">
        <f t="shared" si="10"/>
        <v>1.5854112150852542E-3</v>
      </c>
      <c r="U17" s="44">
        <f t="shared" si="2"/>
        <v>-1519.9283967074998</v>
      </c>
      <c r="V17" s="44">
        <f t="shared" si="2"/>
        <v>1487.0573096916949</v>
      </c>
      <c r="W17" s="34">
        <f t="shared" si="13"/>
        <v>-14595.455367503397</v>
      </c>
      <c r="X17" s="34">
        <f t="shared" si="13"/>
        <v>3485.8076227533766</v>
      </c>
      <c r="Y17" s="34">
        <f t="shared" si="11"/>
        <v>27452.845118683599</v>
      </c>
      <c r="Z17" s="33">
        <v>8.4</v>
      </c>
      <c r="AA17">
        <v>1028.4192999999977</v>
      </c>
      <c r="AB17" s="34">
        <f t="shared" si="14"/>
        <v>27745.806799999998</v>
      </c>
      <c r="AC17" s="45">
        <v>1.6080000000000001E-3</v>
      </c>
      <c r="AH17" s="33">
        <v>-13227.566800000001</v>
      </c>
      <c r="AI17" s="33">
        <v>17926.287899999999</v>
      </c>
      <c r="AJ17">
        <f>ABS(AH30-AH29)</f>
        <v>264.0627999999997</v>
      </c>
      <c r="AK17">
        <f>ABS(AI30-AI29)</f>
        <v>1028.4192999999977</v>
      </c>
    </row>
    <row r="18" spans="1:37" ht="15.75" thickBot="1">
      <c r="A18" s="47" t="s">
        <v>46</v>
      </c>
      <c r="B18" s="48">
        <v>4</v>
      </c>
      <c r="C18" s="48">
        <v>1269464.1299999999</v>
      </c>
      <c r="D18" s="49">
        <v>145.77809999999954</v>
      </c>
      <c r="E18" s="48">
        <v>2.2999999999999998</v>
      </c>
      <c r="F18" s="50">
        <f t="shared" si="3"/>
        <v>2919767.4989999994</v>
      </c>
      <c r="G18" s="50">
        <f t="shared" si="4"/>
        <v>6715465.2476999983</v>
      </c>
      <c r="H18" s="51">
        <f t="shared" si="5"/>
        <v>2.8970378316035514</v>
      </c>
      <c r="I18" s="52">
        <f t="shared" si="6"/>
        <v>7.2425945790088788E-4</v>
      </c>
      <c r="J18" s="51">
        <f t="shared" si="7"/>
        <v>183.61942205186278</v>
      </c>
      <c r="K18" s="53">
        <f t="shared" si="12"/>
        <v>23172.323886262122</v>
      </c>
      <c r="L18" s="54">
        <f t="shared" si="0"/>
        <v>8.1967213114754078E-2</v>
      </c>
      <c r="M18" s="55">
        <f t="shared" si="18"/>
        <v>-0.14180327868852455</v>
      </c>
      <c r="N18" s="55">
        <f t="shared" si="18"/>
        <v>0.15901639344262292</v>
      </c>
      <c r="O18" s="56">
        <f t="shared" si="1"/>
        <v>-1.9779878785023177</v>
      </c>
      <c r="P18" s="56">
        <f t="shared" si="1"/>
        <v>0.55452261333735497</v>
      </c>
      <c r="Q18" s="57">
        <f t="shared" si="8"/>
        <v>3.5514447164424223</v>
      </c>
      <c r="R18" s="58">
        <f t="shared" si="9"/>
        <v>-4.9449696962557946E-4</v>
      </c>
      <c r="S18" s="59">
        <f t="shared" si="9"/>
        <v>1.3863065333433874E-4</v>
      </c>
      <c r="T18" s="58">
        <f t="shared" si="10"/>
        <v>8.8786117911060568E-4</v>
      </c>
      <c r="U18" s="60">
        <f t="shared" si="2"/>
        <v>-935.94770429660389</v>
      </c>
      <c r="V18" s="60">
        <f t="shared" si="2"/>
        <v>1049.5598533730704</v>
      </c>
      <c r="W18" s="49">
        <f t="shared" si="13"/>
        <v>-15531.403071800001</v>
      </c>
      <c r="X18" s="49">
        <f t="shared" si="13"/>
        <v>4535.3674761264465</v>
      </c>
      <c r="Y18" s="49">
        <f t="shared" si="11"/>
        <v>28262.176735206689</v>
      </c>
      <c r="Z18" s="48">
        <v>3.2</v>
      </c>
      <c r="AA18" s="50">
        <v>558.89060000000245</v>
      </c>
      <c r="AB18" s="49">
        <f t="shared" si="14"/>
        <v>28304.697400000001</v>
      </c>
      <c r="AC18" s="61">
        <v>8.0999999999999996E-4</v>
      </c>
      <c r="AH18" s="33">
        <v>-14431.434999999999</v>
      </c>
      <c r="AI18" s="33">
        <v>19234.180199999999</v>
      </c>
      <c r="AJ18">
        <f>ABS(AH32-AH31)</f>
        <v>145.77809999999954</v>
      </c>
      <c r="AK18">
        <f>ABS(AI32-AI31)</f>
        <v>558.89060000000245</v>
      </c>
    </row>
    <row r="19" spans="1:37">
      <c r="B19" s="33">
        <v>0</v>
      </c>
      <c r="C19" s="34">
        <f>SUM(C4:C18)</f>
        <v>15970314.700000003</v>
      </c>
      <c r="D19" s="34">
        <f>SUM(D4:D18)</f>
        <v>18396.841199999999</v>
      </c>
      <c r="F19" s="34">
        <f>SUM(F4:F18)</f>
        <v>789688327.38199997</v>
      </c>
      <c r="G19" s="34">
        <f>SUM(G4:G18)</f>
        <v>57823150603.864006</v>
      </c>
      <c r="L19" s="62">
        <f t="shared" si="0"/>
        <v>0</v>
      </c>
      <c r="Q19">
        <v>0</v>
      </c>
      <c r="Z19" s="33">
        <v>0</v>
      </c>
      <c r="AH19" s="33">
        <v>-14431.434999999999</v>
      </c>
      <c r="AI19" s="33">
        <v>19234.180199999999</v>
      </c>
    </row>
    <row r="20" spans="1:37">
      <c r="AH20" s="33">
        <v>-15460.0949</v>
      </c>
      <c r="AI20" s="33">
        <v>20624.271000000001</v>
      </c>
    </row>
    <row r="21" spans="1:37">
      <c r="A21" t="s">
        <v>47</v>
      </c>
      <c r="B21">
        <f>0.05*B4^(3/4)</f>
        <v>0.92317677656706776</v>
      </c>
      <c r="X21">
        <v>15</v>
      </c>
      <c r="Y21" s="34">
        <f>Y4</f>
        <v>4651.7981146605653</v>
      </c>
      <c r="Z21" s="34">
        <f>AB4</f>
        <v>5115.0295999999998</v>
      </c>
      <c r="AA21" s="63">
        <f>T4</f>
        <v>3.2442114715749521E-3</v>
      </c>
      <c r="AB21" s="63">
        <f>AC4</f>
        <v>3.3679999999999999E-3</v>
      </c>
      <c r="AH21" s="33">
        <v>-15460.0949</v>
      </c>
      <c r="AI21" s="33">
        <v>20624.271000000001</v>
      </c>
    </row>
    <row r="22" spans="1:37">
      <c r="A22" s="64" t="s">
        <v>48</v>
      </c>
      <c r="B22">
        <f>G19/F19</f>
        <v>73.222749531528677</v>
      </c>
      <c r="X22">
        <v>14</v>
      </c>
      <c r="Y22" s="34">
        <f>Y21</f>
        <v>4651.7981146605653</v>
      </c>
      <c r="Z22" s="34">
        <f>Z21</f>
        <v>5115.0295999999998</v>
      </c>
      <c r="AA22" s="63">
        <f>AA21</f>
        <v>3.2442114715749521E-3</v>
      </c>
      <c r="AB22" s="63">
        <f>AB21</f>
        <v>3.3679999999999999E-3</v>
      </c>
      <c r="AH22" s="33">
        <v>-16327.038</v>
      </c>
      <c r="AI22" s="33">
        <v>22118.6142</v>
      </c>
    </row>
    <row r="23" spans="1:37">
      <c r="A23" t="s">
        <v>49</v>
      </c>
      <c r="B23">
        <f>F19^2/G19</f>
        <v>10784740.158411715</v>
      </c>
      <c r="X23">
        <v>14</v>
      </c>
      <c r="Y23" s="34">
        <f>Y5</f>
        <v>8503.8183146287502</v>
      </c>
      <c r="Z23" s="34">
        <f>AB5</f>
        <v>9213.4712</v>
      </c>
      <c r="AA23" s="63">
        <f>T5</f>
        <v>3.2921227785369959E-3</v>
      </c>
      <c r="AB23" s="63">
        <f>AC5</f>
        <v>3.4580000000000001E-3</v>
      </c>
      <c r="AH23" s="33">
        <v>-16327.038</v>
      </c>
      <c r="AI23" s="33">
        <v>22118.6142</v>
      </c>
    </row>
    <row r="24" spans="1:37">
      <c r="A24" t="s">
        <v>50</v>
      </c>
      <c r="B24">
        <f>D19*1000/B23</f>
        <v>1.7058214597457051</v>
      </c>
      <c r="X24">
        <v>13</v>
      </c>
      <c r="Y24" s="34">
        <f>Y23</f>
        <v>8503.8183146287502</v>
      </c>
      <c r="Z24" s="34">
        <f>Z23</f>
        <v>9213.4712</v>
      </c>
      <c r="AA24" s="63">
        <f>AA23</f>
        <v>3.2921227785369959E-3</v>
      </c>
      <c r="AB24" s="63">
        <f>AB23</f>
        <v>3.4580000000000001E-3</v>
      </c>
      <c r="AH24" s="33">
        <v>-17035.374599999999</v>
      </c>
      <c r="AI24" s="33">
        <v>23713.564900000001</v>
      </c>
    </row>
    <row r="25" spans="1:37">
      <c r="A25" t="s">
        <v>51</v>
      </c>
      <c r="B25">
        <f>D19*1000/(B22/1000)</f>
        <v>251244883.83324888</v>
      </c>
      <c r="C25" t="s">
        <v>52</v>
      </c>
      <c r="D25" t="s">
        <v>53</v>
      </c>
      <c r="X25">
        <v>13</v>
      </c>
      <c r="Y25" s="34">
        <f>Y6</f>
        <v>11361.76901664142</v>
      </c>
      <c r="Z25" s="34">
        <f>AB6</f>
        <v>12114.5136</v>
      </c>
      <c r="AA25" s="63">
        <f>T6</f>
        <v>3.4174977918437245E-3</v>
      </c>
      <c r="AB25" s="63">
        <f>AC6</f>
        <v>3.5400000000000002E-3</v>
      </c>
      <c r="AH25" s="33">
        <v>-17035.374599999999</v>
      </c>
      <c r="AI25" s="33">
        <v>23713.564900000001</v>
      </c>
    </row>
    <row r="26" spans="1:37">
      <c r="A26" t="s">
        <v>54</v>
      </c>
      <c r="B26">
        <f>2*PI()*SQRT(B23/B25)</f>
        <v>1.3017755126403181</v>
      </c>
      <c r="C26">
        <f>0.25*B26</f>
        <v>0.32544387816007952</v>
      </c>
      <c r="D26">
        <f>0.125*B26</f>
        <v>0.16272193908003976</v>
      </c>
      <c r="X26">
        <v>12</v>
      </c>
      <c r="Y26" s="34">
        <f>Y25</f>
        <v>11361.76901664142</v>
      </c>
      <c r="Z26" s="34">
        <f>Z25</f>
        <v>12114.5136</v>
      </c>
      <c r="AA26" s="63">
        <f>AA25</f>
        <v>3.4174977918437245E-3</v>
      </c>
      <c r="AB26" s="63">
        <f>AB25</f>
        <v>3.5400000000000002E-3</v>
      </c>
      <c r="AH26" s="33">
        <v>-17583.061300000001</v>
      </c>
      <c r="AI26" s="33">
        <v>25299.257000000001</v>
      </c>
    </row>
    <row r="27" spans="1:37">
      <c r="A27" t="s">
        <v>55</v>
      </c>
      <c r="B27">
        <f>(2*PI()/B26)^2</f>
        <v>23.296331681879856</v>
      </c>
      <c r="C27">
        <f t="shared" ref="C27:D27" si="19">(2*PI()/C26)^2</f>
        <v>372.7413069100777</v>
      </c>
      <c r="D27">
        <f t="shared" si="19"/>
        <v>1490.9652276403108</v>
      </c>
      <c r="X27">
        <v>12</v>
      </c>
      <c r="Y27" s="34">
        <f>Y7</f>
        <v>13371.361446847768</v>
      </c>
      <c r="Z27" s="34">
        <f>AB7</f>
        <v>14089.2413</v>
      </c>
      <c r="AA27" s="63">
        <f>T7</f>
        <v>3.4790649640041725E-3</v>
      </c>
      <c r="AB27" s="63">
        <f>AC7</f>
        <v>3.5999999999999999E-3</v>
      </c>
      <c r="AH27" s="33">
        <v>-17583.061300000001</v>
      </c>
      <c r="AI27" s="33">
        <v>25299.257000000001</v>
      </c>
    </row>
    <row r="28" spans="1:37">
      <c r="A28" t="s">
        <v>56</v>
      </c>
      <c r="B28">
        <f>445.16^2</f>
        <v>198167.42560000002</v>
      </c>
      <c r="X28">
        <v>11</v>
      </c>
      <c r="Y28" s="34">
        <f>Y27</f>
        <v>13371.361446847768</v>
      </c>
      <c r="Z28" s="34">
        <f>Z27</f>
        <v>14089.2413</v>
      </c>
      <c r="AA28" s="63">
        <f>AA27</f>
        <v>3.4790649640041725E-3</v>
      </c>
      <c r="AB28" s="63">
        <f>AB27</f>
        <v>3.5999999999999999E-3</v>
      </c>
      <c r="AH28" s="33">
        <v>-17987.0003</v>
      </c>
      <c r="AI28" s="33">
        <v>26717.387500000001</v>
      </c>
    </row>
    <row r="29" spans="1:37">
      <c r="A29" t="s">
        <v>57</v>
      </c>
      <c r="B29">
        <f>SQRT(B28/B27)</f>
        <v>92.2300328377695</v>
      </c>
      <c r="C29">
        <f>C30/C27*1000</f>
        <v>13.948816253022128</v>
      </c>
      <c r="D29">
        <f t="shared" ref="D29" si="20">D30/D27*1000</f>
        <v>3.4872040632555321</v>
      </c>
      <c r="X29">
        <v>11</v>
      </c>
      <c r="Y29" s="34">
        <f>Y8</f>
        <v>14856.310883761333</v>
      </c>
      <c r="Z29" s="34">
        <f>AB8</f>
        <v>15506.7163</v>
      </c>
      <c r="AA29" s="63">
        <f>T8</f>
        <v>3.4999149437201344E-3</v>
      </c>
      <c r="AB29" s="63">
        <f>AC8</f>
        <v>3.627E-3</v>
      </c>
      <c r="AH29" s="33">
        <v>-17987.0003</v>
      </c>
      <c r="AI29" s="33">
        <v>26717.387500000001</v>
      </c>
    </row>
    <row r="30" spans="1:37">
      <c r="A30" t="s">
        <v>50</v>
      </c>
      <c r="B30">
        <f>B28*0.001^2/(B29*0.001)</f>
        <v>2.148621436019349</v>
      </c>
      <c r="C30">
        <f t="shared" ref="C30:D30" si="21">0.53*9.81</f>
        <v>5.1993000000000009</v>
      </c>
      <c r="D30">
        <f t="shared" si="21"/>
        <v>5.1993000000000009</v>
      </c>
      <c r="X30">
        <v>10</v>
      </c>
      <c r="Y30" s="34">
        <f>Y29</f>
        <v>14856.310883761333</v>
      </c>
      <c r="Z30" s="34">
        <f>Z29</f>
        <v>15506.7163</v>
      </c>
      <c r="AA30" s="63">
        <f>AA29</f>
        <v>3.4999149437201344E-3</v>
      </c>
      <c r="AB30" s="63">
        <f>AB29</f>
        <v>3.627E-3</v>
      </c>
      <c r="AH30" s="33">
        <v>-18251.063099999999</v>
      </c>
      <c r="AI30" s="33">
        <v>27745.806799999998</v>
      </c>
    </row>
    <row r="31" spans="1:37">
      <c r="X31">
        <v>10</v>
      </c>
      <c r="Y31" s="34">
        <f>Y9</f>
        <v>16092.360405684569</v>
      </c>
      <c r="Z31" s="34">
        <f>AB9</f>
        <v>16710.437399999999</v>
      </c>
      <c r="AA31" s="63">
        <f>T9</f>
        <v>3.4809164272119331E-3</v>
      </c>
      <c r="AB31" s="63">
        <f>AC9</f>
        <v>3.617E-3</v>
      </c>
      <c r="AH31" s="33">
        <v>-18251.063099999999</v>
      </c>
      <c r="AI31" s="33">
        <v>27745.806799999998</v>
      </c>
    </row>
    <row r="32" spans="1:37">
      <c r="A32">
        <v>0</v>
      </c>
      <c r="B32">
        <v>0</v>
      </c>
      <c r="X32">
        <v>9</v>
      </c>
      <c r="Y32" s="34">
        <f>Y31</f>
        <v>16092.360405684569</v>
      </c>
      <c r="Z32" s="34">
        <f>Z31</f>
        <v>16710.437399999999</v>
      </c>
      <c r="AA32" s="63">
        <f>AA31</f>
        <v>3.4809164272119331E-3</v>
      </c>
      <c r="AB32" s="63">
        <f>AB31</f>
        <v>3.617E-3</v>
      </c>
      <c r="AH32" s="33">
        <v>-18396.841199999999</v>
      </c>
      <c r="AI32" s="33">
        <v>28304.697400000001</v>
      </c>
    </row>
    <row r="33" spans="1:35">
      <c r="A33">
        <f>B22</f>
        <v>73.222749531528677</v>
      </c>
      <c r="B33">
        <f>B24/9.81</f>
        <v>0.17388597958671814</v>
      </c>
      <c r="X33">
        <v>9</v>
      </c>
      <c r="Y33" s="34">
        <f>Y10</f>
        <v>17301.189486410804</v>
      </c>
      <c r="Z33" s="34">
        <f>AB10</f>
        <v>17926.287899999999</v>
      </c>
      <c r="AA33" s="63">
        <f>T10</f>
        <v>3.4492467580164573E-3</v>
      </c>
      <c r="AB33" s="63">
        <f>AC10</f>
        <v>3.5469999999999998E-3</v>
      </c>
      <c r="AH33" s="33">
        <v>-18396.841199999999</v>
      </c>
      <c r="AI33" s="33">
        <v>28304.697400000001</v>
      </c>
    </row>
    <row r="34" spans="1:35">
      <c r="A34">
        <f>B29</f>
        <v>92.2300328377695</v>
      </c>
      <c r="B34">
        <f>B30/9.81</f>
        <v>0.21902359184702844</v>
      </c>
      <c r="X34">
        <v>8</v>
      </c>
      <c r="Y34" s="34">
        <f>Y33</f>
        <v>17301.189486410804</v>
      </c>
      <c r="Z34" s="34">
        <f>Z33</f>
        <v>17926.287899999999</v>
      </c>
      <c r="AA34" s="63">
        <f>AA33</f>
        <v>3.4492467580164573E-3</v>
      </c>
      <c r="AB34" s="63">
        <f>AB33</f>
        <v>3.5469999999999998E-3</v>
      </c>
    </row>
    <row r="35" spans="1:35">
      <c r="X35">
        <v>8</v>
      </c>
      <c r="Y35" s="34">
        <f>Y11</f>
        <v>18584.88656614751</v>
      </c>
      <c r="Z35" s="34">
        <f>AB11</f>
        <v>19234.180199999999</v>
      </c>
      <c r="AA35" s="63">
        <f>T11</f>
        <v>3.3588985078595399E-3</v>
      </c>
      <c r="AB35" s="63">
        <f>AC11</f>
        <v>3.457E-3</v>
      </c>
    </row>
    <row r="36" spans="1:35">
      <c r="X36">
        <v>7</v>
      </c>
      <c r="Y36" s="34">
        <f>Y35</f>
        <v>18584.88656614751</v>
      </c>
      <c r="Z36" s="34">
        <f>Z35</f>
        <v>19234.180199999999</v>
      </c>
      <c r="AA36" s="63">
        <f>AA35</f>
        <v>3.3588985078595399E-3</v>
      </c>
      <c r="AB36" s="63">
        <f>AB35</f>
        <v>3.457E-3</v>
      </c>
    </row>
    <row r="37" spans="1:35">
      <c r="X37">
        <v>7</v>
      </c>
      <c r="Y37" s="34">
        <f>Y12</f>
        <v>19958.932963370662</v>
      </c>
      <c r="Z37" s="34">
        <f>AB12</f>
        <v>20624.271000000001</v>
      </c>
      <c r="AA37" s="63">
        <f>T12</f>
        <v>3.2327142389328056E-3</v>
      </c>
      <c r="AB37" s="63">
        <f>AC12</f>
        <v>3.3219999999999999E-3</v>
      </c>
    </row>
    <row r="38" spans="1:35">
      <c r="X38">
        <v>6</v>
      </c>
      <c r="Y38" s="34">
        <f>Y37</f>
        <v>19958.932963370662</v>
      </c>
      <c r="Z38" s="34">
        <f>Z37</f>
        <v>20624.271000000001</v>
      </c>
      <c r="AA38" s="63">
        <f>AA37</f>
        <v>3.2327142389328056E-3</v>
      </c>
      <c r="AB38" s="63">
        <f>AB37</f>
        <v>3.3219999999999999E-3</v>
      </c>
    </row>
    <row r="39" spans="1:35">
      <c r="X39">
        <v>6</v>
      </c>
      <c r="Y39" s="34">
        <f>Y13</f>
        <v>21453.780418781032</v>
      </c>
      <c r="Z39" s="34">
        <f>AB13</f>
        <v>22118.6142</v>
      </c>
      <c r="AA39" s="63">
        <f>T13</f>
        <v>2.9981525704130358E-3</v>
      </c>
      <c r="AB39" s="63">
        <f>AC13</f>
        <v>3.1189999999999998E-3</v>
      </c>
    </row>
    <row r="40" spans="1:35">
      <c r="X40">
        <v>5</v>
      </c>
      <c r="Y40" s="34">
        <f>Y39</f>
        <v>21453.780418781032</v>
      </c>
      <c r="Z40" s="34">
        <f>Z39</f>
        <v>22118.6142</v>
      </c>
      <c r="AA40" s="63">
        <f>AA39</f>
        <v>2.9981525704130358E-3</v>
      </c>
      <c r="AB40" s="63">
        <f>AB39</f>
        <v>3.1189999999999998E-3</v>
      </c>
    </row>
    <row r="41" spans="1:35">
      <c r="X41">
        <v>5</v>
      </c>
      <c r="Y41" s="34">
        <f>Y14</f>
        <v>23063.738566836393</v>
      </c>
      <c r="Z41" s="34">
        <f>AB14</f>
        <v>23713.564900000001</v>
      </c>
      <c r="AA41" s="63">
        <f>T14</f>
        <v>2.8089897890518183E-3</v>
      </c>
      <c r="AB41" s="63">
        <f>AC14</f>
        <v>2.875E-3</v>
      </c>
    </row>
    <row r="42" spans="1:35">
      <c r="X42">
        <v>4</v>
      </c>
      <c r="Y42" s="34">
        <f>Y41</f>
        <v>23063.738566836393</v>
      </c>
      <c r="Z42" s="34">
        <f>Z41</f>
        <v>23713.564900000001</v>
      </c>
      <c r="AA42" s="63">
        <f>AA41</f>
        <v>2.8089897890518183E-3</v>
      </c>
      <c r="AB42" s="63">
        <f>AB41</f>
        <v>2.875E-3</v>
      </c>
    </row>
    <row r="43" spans="1:35">
      <c r="X43">
        <v>4</v>
      </c>
      <c r="Y43" s="34">
        <f>Y15</f>
        <v>24699.023027185012</v>
      </c>
      <c r="Z43" s="34">
        <f>AB15</f>
        <v>25299.257000000001</v>
      </c>
      <c r="AA43" s="63">
        <f>T15</f>
        <v>2.4753873680232901E-3</v>
      </c>
      <c r="AB43" s="63">
        <f>AC15</f>
        <v>2.5560000000000001E-3</v>
      </c>
    </row>
    <row r="44" spans="1:35">
      <c r="X44">
        <v>3</v>
      </c>
      <c r="Y44" s="34">
        <f>Y43</f>
        <v>24699.023027185012</v>
      </c>
      <c r="Z44" s="34">
        <f>Z43</f>
        <v>25299.257000000001</v>
      </c>
      <c r="AA44" s="63">
        <f>AA43</f>
        <v>2.4753873680232901E-3</v>
      </c>
      <c r="AB44" s="63">
        <f>AB43</f>
        <v>2.5560000000000001E-3</v>
      </c>
    </row>
    <row r="45" spans="1:35">
      <c r="X45">
        <v>3</v>
      </c>
      <c r="Y45" s="34">
        <f>Y16</f>
        <v>26234.768636262033</v>
      </c>
      <c r="Z45" s="34">
        <f>AB16</f>
        <v>26717.387500000001</v>
      </c>
      <c r="AA45" s="63">
        <f>T16</f>
        <v>2.108549070059132E-3</v>
      </c>
      <c r="AB45" s="63">
        <f>AC16</f>
        <v>2.1320000000000002E-3</v>
      </c>
    </row>
    <row r="46" spans="1:35">
      <c r="X46">
        <v>2</v>
      </c>
      <c r="Y46" s="34">
        <f>Y45</f>
        <v>26234.768636262033</v>
      </c>
      <c r="Z46" s="34">
        <f>Z45</f>
        <v>26717.387500000001</v>
      </c>
      <c r="AA46" s="63">
        <f>AA45</f>
        <v>2.108549070059132E-3</v>
      </c>
      <c r="AB46" s="63">
        <f>AB45</f>
        <v>2.1320000000000002E-3</v>
      </c>
    </row>
    <row r="47" spans="1:35">
      <c r="X47">
        <v>2</v>
      </c>
      <c r="Y47" s="34">
        <f>Y17</f>
        <v>27452.845118683599</v>
      </c>
      <c r="Z47" s="34">
        <f>AB17</f>
        <v>27745.806799999998</v>
      </c>
      <c r="AA47" s="63">
        <f>T17</f>
        <v>1.5854112150852542E-3</v>
      </c>
      <c r="AB47" s="63">
        <f>AC17</f>
        <v>1.6080000000000001E-3</v>
      </c>
    </row>
    <row r="48" spans="1:35">
      <c r="X48">
        <v>1</v>
      </c>
      <c r="Y48" s="34">
        <f>Y47</f>
        <v>27452.845118683599</v>
      </c>
      <c r="Z48" s="34">
        <f>Z47</f>
        <v>27745.806799999998</v>
      </c>
      <c r="AA48" s="63">
        <f>AA47</f>
        <v>1.5854112150852542E-3</v>
      </c>
      <c r="AB48" s="63">
        <f>AB47</f>
        <v>1.6080000000000001E-3</v>
      </c>
    </row>
    <row r="49" spans="24:28">
      <c r="X49">
        <v>1</v>
      </c>
      <c r="Y49" s="34">
        <f>Y18</f>
        <v>28262.176735206689</v>
      </c>
      <c r="Z49" s="34">
        <f>AB18</f>
        <v>28304.697400000001</v>
      </c>
      <c r="AA49" s="63">
        <f>T18</f>
        <v>8.8786117911060568E-4</v>
      </c>
      <c r="AB49" s="63">
        <f>AC18</f>
        <v>8.0999999999999996E-4</v>
      </c>
    </row>
    <row r="50" spans="24:28">
      <c r="X50">
        <v>0</v>
      </c>
      <c r="Y50" s="34">
        <f>Y49</f>
        <v>28262.176735206689</v>
      </c>
      <c r="Z50" s="34">
        <f>Z49</f>
        <v>28304.697400000001</v>
      </c>
      <c r="AA50" s="63">
        <f>AA49</f>
        <v>8.8786117911060568E-4</v>
      </c>
      <c r="AB50" s="63">
        <f>AB49</f>
        <v>8.0999999999999996E-4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Godbole</dc:creator>
  <cp:lastModifiedBy>Siddhesh Godbole</cp:lastModifiedBy>
  <dcterms:created xsi:type="dcterms:W3CDTF">2021-02-22T12:56:19Z</dcterms:created>
  <dcterms:modified xsi:type="dcterms:W3CDTF">2021-02-22T12:56:37Z</dcterms:modified>
</cp:coreProperties>
</file>