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" yWindow="5508" windowWidth="17088" windowHeight="28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5" i="1" l="1"/>
  <c r="B82" i="1"/>
  <c r="B83" i="1"/>
  <c r="B84" i="1"/>
  <c r="B81" i="1"/>
  <c r="D61" i="1"/>
  <c r="B62" i="1"/>
  <c r="C61" i="1"/>
  <c r="B61" i="1" s="1"/>
  <c r="D60" i="1"/>
  <c r="B72" i="1" s="1"/>
  <c r="B69" i="1"/>
  <c r="B68" i="1"/>
  <c r="C67" i="1"/>
  <c r="B67" i="1"/>
  <c r="C66" i="1"/>
  <c r="B66" i="1"/>
  <c r="B63" i="1"/>
  <c r="C19" i="1"/>
  <c r="C20" i="1"/>
  <c r="B20" i="1"/>
  <c r="B19" i="1"/>
  <c r="B40" i="1" l="1"/>
  <c r="F52" i="1"/>
  <c r="F51" i="1"/>
  <c r="B23" i="1"/>
  <c r="B24" i="1" s="1"/>
  <c r="B25" i="1" s="1"/>
  <c r="B13" i="1"/>
  <c r="C13" i="1" l="1"/>
  <c r="E51" i="1" l="1"/>
  <c r="B14" i="1"/>
  <c r="B78" i="1" s="1"/>
  <c r="B15" i="1"/>
  <c r="B16" i="1" l="1"/>
  <c r="C16" i="1"/>
  <c r="C17" i="1" l="1"/>
  <c r="B17" i="1"/>
  <c r="B18" i="1" l="1"/>
  <c r="B41" i="1" l="1"/>
  <c r="B74" i="1"/>
  <c r="B75" i="1"/>
  <c r="B32" i="1"/>
  <c r="B33" i="1" s="1"/>
  <c r="B35" i="1" s="1"/>
  <c r="B37" i="1" s="1"/>
  <c r="B34" i="1" l="1"/>
  <c r="B36" i="1" s="1"/>
  <c r="B43" i="1"/>
  <c r="B42" i="1"/>
  <c r="B46" i="1" l="1"/>
  <c r="B47" i="1"/>
  <c r="C51" i="1" l="1"/>
  <c r="D52" i="1"/>
  <c r="E52" i="1"/>
  <c r="D51" i="1"/>
  <c r="G51" i="1" s="1"/>
  <c r="C52" i="1"/>
  <c r="E61" i="1" l="1"/>
  <c r="B51" i="1"/>
  <c r="B55" i="1" s="1"/>
  <c r="G52" i="1"/>
  <c r="B52" i="1" s="1"/>
  <c r="B73" i="1"/>
  <c r="B56" i="1" l="1"/>
  <c r="C60" i="1"/>
  <c r="B60" i="1"/>
  <c r="B80" i="1" s="1"/>
  <c r="E60" i="1" l="1"/>
  <c r="B79" i="1"/>
</calcChain>
</file>

<file path=xl/sharedStrings.xml><?xml version="1.0" encoding="utf-8"?>
<sst xmlns="http://schemas.openxmlformats.org/spreadsheetml/2006/main" count="128" uniqueCount="105">
  <si>
    <t xml:space="preserve">C2 = </t>
  </si>
  <si>
    <t xml:space="preserve">CC = </t>
  </si>
  <si>
    <t xml:space="preserve">Head = </t>
  </si>
  <si>
    <t>Safe Exit Gradient</t>
  </si>
  <si>
    <t xml:space="preserve">Discharge Intensite q </t>
  </si>
  <si>
    <t xml:space="preserve">Lacy's silt factor = </t>
  </si>
  <si>
    <t xml:space="preserve">R = </t>
  </si>
  <si>
    <t>λ</t>
  </si>
  <si>
    <t>α</t>
  </si>
  <si>
    <r>
      <t>b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</si>
  <si>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d</t>
    </r>
  </si>
  <si>
    <r>
      <t>d</t>
    </r>
    <r>
      <rPr>
        <vertAlign val="subscript"/>
        <sz val="11"/>
        <color theme="1"/>
        <rFont val="Calibri"/>
        <family val="2"/>
        <scheme val="minor"/>
      </rPr>
      <t>u</t>
    </r>
  </si>
  <si>
    <t xml:space="preserve">    alpha = TotalApronLength/USPd</t>
  </si>
  <si>
    <t xml:space="preserve">    lambda_ = 0.5*(1 + np.sqrt(1 + pow(alpha,2)))</t>
  </si>
  <si>
    <t xml:space="preserve">    </t>
  </si>
  <si>
    <t xml:space="preserve">    # Downstream pile </t>
  </si>
  <si>
    <t xml:space="preserve">    alpha = TotalApronLength/DSPd</t>
  </si>
  <si>
    <t xml:space="preserve">    phiE= math.acos(((lambda_-2)/lambda_))/math.pi</t>
  </si>
  <si>
    <t xml:space="preserve">    phiD2 = math.acos(((lambda_-1)/lambda_))/math.pi</t>
  </si>
  <si>
    <t># Upstream pile</t>
  </si>
  <si>
    <r>
      <t>φ</t>
    </r>
    <r>
      <rPr>
        <vertAlign val="subscript"/>
        <sz val="11"/>
        <color theme="1"/>
        <rFont val="Calibri"/>
        <family val="2"/>
      </rPr>
      <t>E</t>
    </r>
  </si>
  <si>
    <r>
      <t>φ</t>
    </r>
    <r>
      <rPr>
        <vertAlign val="subscript"/>
        <sz val="11"/>
        <color theme="1"/>
        <rFont val="Calibri"/>
        <family val="2"/>
      </rPr>
      <t>D2</t>
    </r>
  </si>
  <si>
    <r>
      <t>φ</t>
    </r>
    <r>
      <rPr>
        <vertAlign val="subscript"/>
        <sz val="11"/>
        <color theme="1"/>
        <rFont val="Calibri"/>
        <family val="2"/>
      </rPr>
      <t>D1</t>
    </r>
  </si>
  <si>
    <t xml:space="preserve">    # Thicknesses of apron</t>
  </si>
  <si>
    <t>T1</t>
  </si>
  <si>
    <t>T2</t>
  </si>
  <si>
    <t>CT1</t>
  </si>
  <si>
    <t>CT2</t>
  </si>
  <si>
    <t xml:space="preserve">    # Forces</t>
  </si>
  <si>
    <t>Gravity</t>
  </si>
  <si>
    <t>Uplift</t>
  </si>
  <si>
    <t>ApronWeight</t>
  </si>
  <si>
    <t>WaterWeight = Head*lengthOfwater*WaterDensity*gravity</t>
  </si>
  <si>
    <t xml:space="preserve">WaterWeight </t>
  </si>
  <si>
    <t>HorizontalForce = Head*Head*WaterDensity*gravity*1/2</t>
  </si>
  <si>
    <t>HorizontalForce</t>
  </si>
  <si>
    <t xml:space="preserve">    netMoment = StablizingMoment-DestablizingMoment</t>
  </si>
  <si>
    <t xml:space="preserve">    Eccentricity = (netMoment/netVerticalForce) - (TotalApronLength/2)</t>
  </si>
  <si>
    <t xml:space="preserve">    Centroid = netMoment/netVerticalForce</t>
  </si>
  <si>
    <t xml:space="preserve">    RhoMin = (netVerticalForce/2)*(1-6*Eccentricity/TotalApronLength)</t>
  </si>
  <si>
    <t xml:space="preserve">    RhoMax = (netVerticalForce/2)*(1+6*Eccentricity/TotalApronLength)</t>
  </si>
  <si>
    <t xml:space="preserve">    if TotalApronLength/3 &lt; Centroid  and Centroid &lt; 2*TotalApronLength/3:</t>
  </si>
  <si>
    <t xml:space="preserve">        goodOrBad = 0</t>
  </si>
  <si>
    <t xml:space="preserve">    elif RhoMin &lt; 0 or RhoMax &gt; 70:</t>
  </si>
  <si>
    <t xml:space="preserve">        goodOrBad = 1</t>
  </si>
  <si>
    <t xml:space="preserve">    Eccentricity = abs(netMoment/netVerticalForce - TotalApronLength/2)/TotalApronLength</t>
  </si>
  <si>
    <t xml:space="preserve">    # Moments</t>
  </si>
  <si>
    <t>UpliftForceMoment</t>
  </si>
  <si>
    <t>ApronWeightMoment</t>
  </si>
  <si>
    <t>HorizontalForceMoment</t>
  </si>
  <si>
    <t xml:space="preserve"> WaterWeightMoment</t>
  </si>
  <si>
    <t>Verticalforceratio = (ApronWeight+WaterWeight)/UpliftForce</t>
  </si>
  <si>
    <t>Verticalforceratio</t>
  </si>
  <si>
    <t>cost = pilecost*(USPd+DSPd) + apronmaterialcost*totalapronLength*(thinkness1+thinkness2)</t>
  </si>
  <si>
    <r>
      <t>φ</t>
    </r>
    <r>
      <rPr>
        <vertAlign val="subscript"/>
        <sz val="11"/>
        <color theme="1"/>
        <rFont val="Calibri"/>
        <family val="2"/>
      </rPr>
      <t>E1</t>
    </r>
  </si>
  <si>
    <r>
      <t>φ</t>
    </r>
    <r>
      <rPr>
        <vertAlign val="subscript"/>
        <sz val="11"/>
        <color theme="1"/>
        <rFont val="Calibri"/>
        <family val="2"/>
      </rPr>
      <t>c1</t>
    </r>
  </si>
  <si>
    <r>
      <t>φ</t>
    </r>
    <r>
      <rPr>
        <vertAlign val="subscript"/>
        <sz val="11"/>
        <color theme="1"/>
        <rFont val="Calibri"/>
        <family val="2"/>
      </rPr>
      <t>E2</t>
    </r>
  </si>
  <si>
    <r>
      <t>φ</t>
    </r>
    <r>
      <rPr>
        <vertAlign val="subscript"/>
        <sz val="11"/>
        <color theme="1"/>
        <rFont val="Calibri"/>
        <family val="2"/>
      </rPr>
      <t>c2</t>
    </r>
  </si>
  <si>
    <t># Moment Arms</t>
  </si>
  <si>
    <t>total</t>
  </si>
  <si>
    <t>1, rectangular</t>
  </si>
  <si>
    <t>2, triangular</t>
  </si>
  <si>
    <t xml:space="preserve">    # Thicknesses of apron redone after correction</t>
  </si>
  <si>
    <t xml:space="preserve">    # Stability Criteria</t>
  </si>
  <si>
    <t>correction for thickenss</t>
  </si>
  <si>
    <t>correction for pile interference</t>
  </si>
  <si>
    <t>results based on calculation</t>
  </si>
  <si>
    <t>applied values</t>
  </si>
  <si>
    <t># for exit gradient calculation</t>
  </si>
  <si>
    <r>
      <t>G</t>
    </r>
    <r>
      <rPr>
        <vertAlign val="subscript"/>
        <sz val="11"/>
        <color theme="1"/>
        <rFont val="Calibri"/>
        <family val="2"/>
      </rPr>
      <t>E</t>
    </r>
  </si>
  <si>
    <t>Exit Gradient GE</t>
  </si>
  <si>
    <t xml:space="preserve">    #  corrections</t>
  </si>
  <si>
    <t>4.1,  50</t>
  </si>
  <si>
    <t>calculated value for bt and dd</t>
  </si>
  <si>
    <t>10,5</t>
  </si>
  <si>
    <t>D</t>
  </si>
  <si>
    <t>d</t>
  </si>
  <si>
    <t>b</t>
  </si>
  <si>
    <t>5,40</t>
  </si>
  <si>
    <t>10,20</t>
  </si>
  <si>
    <r>
      <t>φ</t>
    </r>
    <r>
      <rPr>
        <vertAlign val="subscript"/>
        <sz val="11"/>
        <color theme="1"/>
        <rFont val="Calibri"/>
        <family val="2"/>
      </rPr>
      <t>D</t>
    </r>
  </si>
  <si>
    <r>
      <t>φ</t>
    </r>
    <r>
      <rPr>
        <vertAlign val="subscript"/>
        <sz val="11"/>
        <color theme="1"/>
        <rFont val="Calibri"/>
        <family val="2"/>
      </rPr>
      <t>C1</t>
    </r>
  </si>
  <si>
    <t xml:space="preserve">    phi# = math.acos((lambda_ - 2)/lambda_)/math.pi</t>
  </si>
  <si>
    <t xml:space="preserve">    phiD1 = math.acos((lambda_ -1)/lambda_)/math.pi</t>
  </si>
  <si>
    <t>1-phiE</t>
  </si>
  <si>
    <t>1-PhiD</t>
  </si>
  <si>
    <t>After correction</t>
  </si>
  <si>
    <t xml:space="preserve">    phiC1= phiC + ((phiD1 - phiC)/USPd)*t1 + 0.19*np.sqrt((D/b1))*((DC+d)/TotalApronLength)</t>
  </si>
  <si>
    <t xml:space="preserve">    phiE2= phiE - ((phiE - phiD2)/DSPd)*t2 -  0.19*np.sqrt((D/b1))*((DE+d)/TotalApronLength)</t>
  </si>
  <si>
    <t>cost of Pile/cost of Apron per unit</t>
  </si>
  <si>
    <t>totalapronLength*(thinkness1+thinkness2)*ConcreteDensity*gravity</t>
  </si>
  <si>
    <t>MinDownstreamLength</t>
  </si>
  <si>
    <t>DownstreamArponLength</t>
  </si>
  <si>
    <t>UpstreamArponLength</t>
  </si>
  <si>
    <t xml:space="preserve"> from hydraulic jump length consideration (i.e., the downstream apron length should contain the whole of the jump)</t>
  </si>
  <si>
    <t>actual applied</t>
  </si>
  <si>
    <t>UpliftForce</t>
  </si>
  <si>
    <t xml:space="preserve"> WaterWeight</t>
  </si>
  <si>
    <t>Momentratio</t>
  </si>
  <si>
    <t xml:space="preserve">cost </t>
  </si>
  <si>
    <t>Eccentricity</t>
  </si>
  <si>
    <t>netMoment</t>
  </si>
  <si>
    <t>netVerticalForce</t>
  </si>
  <si>
    <t>X</t>
  </si>
  <si>
    <t xml:space="preserve">   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</si>
</sst>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11</xdr:row>
      <xdr:rowOff>129540</xdr:rowOff>
    </xdr:from>
    <xdr:to>
      <xdr:col>6</xdr:col>
      <xdr:colOff>7620</xdr:colOff>
      <xdr:row>14</xdr:row>
      <xdr:rowOff>30480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897380" y="1409700"/>
          <a:ext cx="548640" cy="44958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1760220</xdr:colOff>
      <xdr:row>16</xdr:row>
      <xdr:rowOff>106680</xdr:rowOff>
    </xdr:from>
    <xdr:to>
      <xdr:col>7</xdr:col>
      <xdr:colOff>335280</xdr:colOff>
      <xdr:row>20</xdr:row>
      <xdr:rowOff>79387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60820" y="2880360"/>
          <a:ext cx="1569720" cy="727087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21</xdr:row>
      <xdr:rowOff>7620</xdr:rowOff>
    </xdr:from>
    <xdr:to>
      <xdr:col>5</xdr:col>
      <xdr:colOff>571500</xdr:colOff>
      <xdr:row>22</xdr:row>
      <xdr:rowOff>160020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576060" y="3352800"/>
          <a:ext cx="571500" cy="35814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1710022</xdr:colOff>
      <xdr:row>13</xdr:row>
      <xdr:rowOff>145572</xdr:rowOff>
    </xdr:from>
    <xdr:ext cx="1962818" cy="5305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510622" y="2340132"/>
              <a:ext cx="1962818" cy="530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i="1">
                      <a:latin typeface="Cambria Math"/>
                      <a:ea typeface="Cambria Math"/>
                    </a:rPr>
                    <m:t>𝜆</m:t>
                  </m:r>
                  <m:r>
                    <a:rPr lang="en-US" sz="1400" i="1">
                      <a:latin typeface="Cambria Math"/>
                    </a:rPr>
                    <m:t>=</m:t>
                  </m:r>
                </m:oMath>
              </a14:m>
              <a:r>
                <a:rPr lang="en-US" sz="1400"/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/>
                        </a:rPr>
                      </m:ctrlPr>
                    </m:sSupPr>
                    <m:e>
                      <m:d>
                        <m:d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sub>
                              </m:sSub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sSub>
                                <m:sSub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𝐺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𝐸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𝑠𝑎𝑓𝑒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n-US" sz="1400" i="1">
                          <a:latin typeface="Cambria Math"/>
                        </a:rPr>
                        <m:t>2</m:t>
                      </m:r>
                    </m:sup>
                  </m:sSup>
                </m:oMath>
              </a14:m>
              <a:endParaRPr lang="en-US" sz="1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510622" y="2340132"/>
              <a:ext cx="1962818" cy="530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i="0">
                  <a:latin typeface="Cambria Math"/>
                  <a:ea typeface="Cambria Math"/>
                </a:rPr>
                <a:t>𝜆</a:t>
              </a:r>
              <a:r>
                <a:rPr lang="en-US" sz="1400" i="0">
                  <a:latin typeface="Cambria Math"/>
                </a:rPr>
                <a:t>=</a:t>
              </a:r>
              <a:r>
                <a:rPr lang="en-US" sz="1400"/>
                <a:t>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𝐻/(𝑑_𝑑 𝜋𝐺_𝐸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𝑠𝑎𝑓𝑒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en-US" sz="1400" i="0">
                  <a:latin typeface="Cambria Math"/>
                </a:rPr>
                <a:t>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822960</xdr:colOff>
      <xdr:row>23</xdr:row>
      <xdr:rowOff>68580</xdr:rowOff>
    </xdr:from>
    <xdr:ext cx="1962818" cy="466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383280" y="3817620"/>
              <a:ext cx="1962818" cy="466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𝐺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𝐸</m:t>
                        </m:r>
                      </m:sub>
                    </m:sSub>
                    <m:r>
                      <a:rPr lang="en-US" sz="11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𝐻</m:t>
                        </m:r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𝑑</m:t>
                            </m:r>
                          </m:sub>
                        </m:sSub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𝜋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latin typeface="Cambria Math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latin typeface="Cambria Math"/>
                                <a:ea typeface="Cambria Math"/>
                              </a:rPr>
                              <m:t>𝜆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383280" y="3817620"/>
              <a:ext cx="1962818" cy="466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𝐺_𝐸</a:t>
              </a:r>
              <a:r>
                <a:rPr lang="en-US" sz="1100" i="0">
                  <a:latin typeface="Cambria Math"/>
                </a:rPr>
                <a:t>=</a:t>
              </a:r>
              <a:r>
                <a:rPr lang="en-US" sz="1100" b="0" i="0">
                  <a:latin typeface="Cambria Math"/>
                </a:rPr>
                <a:t>𝐻/(𝑑_𝑑</a:t>
              </a:r>
              <a:r>
                <a:rPr lang="en-US" sz="1100" b="0" i="0">
                  <a:latin typeface="Cambria Math"/>
                  <a:ea typeface="Cambria Math"/>
                </a:rPr>
                <a:t> </a:t>
              </a:r>
              <a:r>
                <a:rPr lang="en-US" sz="1100" i="0">
                  <a:latin typeface="Cambria Math"/>
                  <a:ea typeface="Cambria Math"/>
                </a:rPr>
                <a:t>𝜋√𝜆)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4"/>
  <sheetViews>
    <sheetView tabSelected="1" topLeftCell="A64" workbookViewId="0">
      <selection activeCell="G85" sqref="G85"/>
    </sheetView>
  </sheetViews>
  <sheetFormatPr defaultRowHeight="14.4" x14ac:dyDescent="0.3"/>
  <cols>
    <col min="1" max="1" width="19.5546875" customWidth="1"/>
    <col min="2" max="2" width="48.33203125" customWidth="1"/>
    <col min="3" max="3" width="23.77734375" customWidth="1"/>
    <col min="5" max="5" width="25.88671875" customWidth="1"/>
  </cols>
  <sheetData>
    <row r="2" spans="1:3" x14ac:dyDescent="0.3">
      <c r="A2" t="s">
        <v>1</v>
      </c>
      <c r="B2">
        <v>2240</v>
      </c>
    </row>
    <row r="3" spans="1:3" x14ac:dyDescent="0.3">
      <c r="A3" t="s">
        <v>0</v>
      </c>
      <c r="B3">
        <v>1000</v>
      </c>
    </row>
    <row r="4" spans="1:3" x14ac:dyDescent="0.3">
      <c r="A4" t="s">
        <v>2</v>
      </c>
      <c r="B4">
        <v>4</v>
      </c>
    </row>
    <row r="5" spans="1:3" x14ac:dyDescent="0.3">
      <c r="A5" t="s">
        <v>4</v>
      </c>
      <c r="B5">
        <v>2.5</v>
      </c>
    </row>
    <row r="6" spans="1:3" x14ac:dyDescent="0.3">
      <c r="A6" t="s">
        <v>3</v>
      </c>
      <c r="B6">
        <v>0.125</v>
      </c>
    </row>
    <row r="7" spans="1:3" x14ac:dyDescent="0.3">
      <c r="A7" t="s">
        <v>5</v>
      </c>
      <c r="B7">
        <v>0.75</v>
      </c>
    </row>
    <row r="8" spans="1:3" x14ac:dyDescent="0.3">
      <c r="A8" t="s">
        <v>29</v>
      </c>
      <c r="B8">
        <v>9.81</v>
      </c>
    </row>
    <row r="9" spans="1:3" x14ac:dyDescent="0.3">
      <c r="A9" t="s">
        <v>89</v>
      </c>
      <c r="B9">
        <v>1</v>
      </c>
    </row>
    <row r="10" spans="1:3" x14ac:dyDescent="0.3">
      <c r="A10" t="s">
        <v>91</v>
      </c>
      <c r="B10">
        <v>10</v>
      </c>
      <c r="C10" t="s">
        <v>94</v>
      </c>
    </row>
    <row r="12" spans="1:3" x14ac:dyDescent="0.3">
      <c r="B12" t="s">
        <v>66</v>
      </c>
      <c r="C12" t="s">
        <v>67</v>
      </c>
    </row>
    <row r="13" spans="1:3" x14ac:dyDescent="0.3">
      <c r="A13" t="s">
        <v>6</v>
      </c>
      <c r="B13" s="14">
        <f xml:space="preserve"> 1.35*(B5^2/B7)^(1/3)</f>
        <v>2.7369908980080302</v>
      </c>
      <c r="C13" s="13">
        <f xml:space="preserve"> 1.35*(B5^2/B7)^(1/3)</f>
        <v>2.7369908980080302</v>
      </c>
    </row>
    <row r="14" spans="1:3" ht="15.6" x14ac:dyDescent="0.35">
      <c r="A14" t="s">
        <v>10</v>
      </c>
      <c r="B14" s="14">
        <f xml:space="preserve"> 1.5*C13</f>
        <v>4.1054863470120448</v>
      </c>
      <c r="C14" s="13">
        <v>4.1100000000000003</v>
      </c>
    </row>
    <row r="15" spans="1:3" ht="15.6" x14ac:dyDescent="0.35">
      <c r="A15" t="s">
        <v>11</v>
      </c>
      <c r="B15" s="14">
        <f>1.25*C13</f>
        <v>3.421238622510038</v>
      </c>
      <c r="C15" s="13">
        <v>3.42</v>
      </c>
    </row>
    <row r="16" spans="1:3" x14ac:dyDescent="0.3">
      <c r="A16" s="3" t="s">
        <v>7</v>
      </c>
      <c r="B16" s="14">
        <f>(B4/(C14*3.14*B6))^2</f>
        <v>6.1483278389534091</v>
      </c>
      <c r="C16" s="13">
        <f>(B4/(C14*3.14*B6))^2</f>
        <v>6.1483278389534091</v>
      </c>
    </row>
    <row r="17" spans="1:17" x14ac:dyDescent="0.3">
      <c r="A17" s="2" t="s">
        <v>8</v>
      </c>
      <c r="B17" s="14">
        <f>SQRT(((2*C16-1)^2) - 1)</f>
        <v>11.25230774131175</v>
      </c>
      <c r="C17" s="13">
        <f>SQRT(((2*C16-1)^2) - 1)</f>
        <v>11.25230774131175</v>
      </c>
    </row>
    <row r="18" spans="1:17" ht="15.6" x14ac:dyDescent="0.35">
      <c r="A18" t="s">
        <v>9</v>
      </c>
      <c r="B18" s="14">
        <f>C17*C14</f>
        <v>46.246984816791297</v>
      </c>
      <c r="C18" s="13">
        <v>46.5</v>
      </c>
    </row>
    <row r="19" spans="1:17" x14ac:dyDescent="0.3">
      <c r="A19" t="s">
        <v>92</v>
      </c>
      <c r="B19">
        <f>B10</f>
        <v>10</v>
      </c>
      <c r="C19">
        <f>B10</f>
        <v>10</v>
      </c>
    </row>
    <row r="20" spans="1:17" ht="15" thickBot="1" x14ac:dyDescent="0.35">
      <c r="A20" t="s">
        <v>93</v>
      </c>
      <c r="B20" s="14">
        <f>B18-B19</f>
        <v>36.246984816791297</v>
      </c>
      <c r="C20" s="14">
        <f>C18-C19</f>
        <v>36.5</v>
      </c>
    </row>
    <row r="21" spans="1:17" x14ac:dyDescent="0.3">
      <c r="I21" s="4"/>
      <c r="J21" s="5"/>
      <c r="K21" s="5"/>
      <c r="L21" s="5"/>
      <c r="M21" s="5"/>
      <c r="N21" s="5"/>
      <c r="O21" s="5"/>
      <c r="P21" s="6"/>
    </row>
    <row r="22" spans="1:17" ht="16.2" thickBot="1" x14ac:dyDescent="0.4">
      <c r="A22" t="s">
        <v>68</v>
      </c>
      <c r="B22" s="1"/>
      <c r="H22" s="2" t="s">
        <v>54</v>
      </c>
      <c r="I22" s="7"/>
      <c r="J22" s="8"/>
      <c r="K22" s="8"/>
      <c r="L22" s="8"/>
      <c r="M22" s="8"/>
      <c r="N22" s="8"/>
      <c r="O22" s="8"/>
      <c r="P22" s="9"/>
    </row>
    <row r="23" spans="1:17" ht="15.6" x14ac:dyDescent="0.35">
      <c r="A23" s="2" t="s">
        <v>8</v>
      </c>
      <c r="B23">
        <f>C18/C14</f>
        <v>11.313868613138686</v>
      </c>
      <c r="I23" s="10"/>
      <c r="J23" s="2" t="s">
        <v>55</v>
      </c>
      <c r="O23" s="2" t="s">
        <v>56</v>
      </c>
      <c r="P23" s="10"/>
      <c r="Q23" s="2" t="s">
        <v>57</v>
      </c>
    </row>
    <row r="24" spans="1:17" x14ac:dyDescent="0.3">
      <c r="A24" s="3" t="s">
        <v>7</v>
      </c>
      <c r="B24">
        <f>(SQRT(B23^2 + 1) + 1)/2</f>
        <v>6.178988091979166</v>
      </c>
      <c r="I24" s="11"/>
      <c r="P24" s="11"/>
    </row>
    <row r="25" spans="1:17" ht="15.6" x14ac:dyDescent="0.35">
      <c r="A25" s="2" t="s">
        <v>69</v>
      </c>
      <c r="B25">
        <f>B4/(C14*PI()*SQRT(B24))</f>
        <v>0.12462627591877888</v>
      </c>
      <c r="I25" s="11"/>
      <c r="P25" s="11"/>
    </row>
    <row r="26" spans="1:17" x14ac:dyDescent="0.3">
      <c r="I26" s="11"/>
      <c r="P26" s="11"/>
    </row>
    <row r="27" spans="1:17" x14ac:dyDescent="0.3">
      <c r="I27" s="11"/>
      <c r="P27" s="11"/>
    </row>
    <row r="28" spans="1:17" ht="15" thickBot="1" x14ac:dyDescent="0.35">
      <c r="I28" s="12"/>
      <c r="P28" s="11"/>
    </row>
    <row r="29" spans="1:17" ht="15.6" x14ac:dyDescent="0.35">
      <c r="H29" s="2" t="s">
        <v>22</v>
      </c>
      <c r="P29" s="11"/>
    </row>
    <row r="30" spans="1:17" x14ac:dyDescent="0.3">
      <c r="P30" s="11"/>
    </row>
    <row r="31" spans="1:17" x14ac:dyDescent="0.3">
      <c r="A31" t="s">
        <v>19</v>
      </c>
      <c r="P31" s="11"/>
    </row>
    <row r="32" spans="1:17" ht="15" thickBot="1" x14ac:dyDescent="0.35">
      <c r="A32" s="2" t="s">
        <v>8</v>
      </c>
      <c r="B32">
        <f>C18/C15</f>
        <v>13.596491228070176</v>
      </c>
      <c r="C32" t="s">
        <v>12</v>
      </c>
      <c r="P32" s="12"/>
    </row>
    <row r="33" spans="1:15" ht="15.6" x14ac:dyDescent="0.35">
      <c r="A33" s="3" t="s">
        <v>7</v>
      </c>
      <c r="B33">
        <f>0.5*(1 + SQRT(1 + B32^2))</f>
        <v>7.3166079122058436</v>
      </c>
      <c r="C33" t="s">
        <v>13</v>
      </c>
      <c r="O33" s="2" t="s">
        <v>21</v>
      </c>
    </row>
    <row r="34" spans="1:15" ht="15.6" x14ac:dyDescent="0.35">
      <c r="A34" s="2" t="s">
        <v>20</v>
      </c>
      <c r="B34">
        <f>ACOS((B33-2)/B33)/PI()</f>
        <v>0.24107654211034352</v>
      </c>
      <c r="C34" t="s">
        <v>82</v>
      </c>
      <c r="F34" t="s">
        <v>14</v>
      </c>
    </row>
    <row r="35" spans="1:15" ht="15.6" x14ac:dyDescent="0.35">
      <c r="A35" s="2" t="s">
        <v>80</v>
      </c>
      <c r="B35">
        <f>ACOS((B33-1)/B33)/PI()</f>
        <v>0.16837806417853532</v>
      </c>
      <c r="C35" t="s">
        <v>83</v>
      </c>
    </row>
    <row r="36" spans="1:15" ht="15.6" x14ac:dyDescent="0.35">
      <c r="A36" s="2" t="s">
        <v>81</v>
      </c>
      <c r="B36">
        <f>1-B34</f>
        <v>0.75892345788965643</v>
      </c>
      <c r="C36" t="s">
        <v>84</v>
      </c>
    </row>
    <row r="37" spans="1:15" ht="15.6" x14ac:dyDescent="0.35">
      <c r="A37" s="2" t="s">
        <v>22</v>
      </c>
      <c r="B37">
        <f>1-B35</f>
        <v>0.83162193582146471</v>
      </c>
      <c r="C37" t="s">
        <v>85</v>
      </c>
    </row>
    <row r="39" spans="1:15" x14ac:dyDescent="0.3">
      <c r="A39" t="s">
        <v>15</v>
      </c>
    </row>
    <row r="40" spans="1:15" x14ac:dyDescent="0.3">
      <c r="A40" s="2" t="s">
        <v>8</v>
      </c>
      <c r="B40">
        <f>C18/C14</f>
        <v>11.313868613138686</v>
      </c>
      <c r="C40" t="s">
        <v>16</v>
      </c>
    </row>
    <row r="41" spans="1:15" x14ac:dyDescent="0.3">
      <c r="A41" s="3" t="s">
        <v>7</v>
      </c>
      <c r="B41">
        <f>0.5*(1 + SQRT(1 + B40^2))</f>
        <v>6.178988091979166</v>
      </c>
      <c r="C41" t="s">
        <v>13</v>
      </c>
    </row>
    <row r="42" spans="1:15" ht="15.6" x14ac:dyDescent="0.35">
      <c r="A42" s="2" t="s">
        <v>56</v>
      </c>
      <c r="B42">
        <f>ACOS((B41-2)/B41)/PI()</f>
        <v>0.26357262782719104</v>
      </c>
      <c r="C42" t="s">
        <v>17</v>
      </c>
    </row>
    <row r="43" spans="1:15" ht="15.6" x14ac:dyDescent="0.35">
      <c r="A43" s="2" t="s">
        <v>21</v>
      </c>
      <c r="B43">
        <f>ACOS((B41-1)/B41)/PI()</f>
        <v>0.18363081360310102</v>
      </c>
      <c r="C43" t="s">
        <v>18</v>
      </c>
    </row>
    <row r="45" spans="1:15" x14ac:dyDescent="0.3">
      <c r="A45" t="s">
        <v>23</v>
      </c>
    </row>
    <row r="46" spans="1:15" x14ac:dyDescent="0.3">
      <c r="A46" t="s">
        <v>24</v>
      </c>
      <c r="B46">
        <f>B4*B36/((B2/1000) - 1)</f>
        <v>2.4481401867408268</v>
      </c>
    </row>
    <row r="47" spans="1:15" x14ac:dyDescent="0.3">
      <c r="A47" t="s">
        <v>25</v>
      </c>
      <c r="B47">
        <f>B4*B42/((B2/1000) - 1)</f>
        <v>0.85023428331351936</v>
      </c>
    </row>
    <row r="49" spans="1:9" x14ac:dyDescent="0.3">
      <c r="A49" t="s">
        <v>71</v>
      </c>
    </row>
    <row r="50" spans="1:9" x14ac:dyDescent="0.3">
      <c r="B50" t="s">
        <v>86</v>
      </c>
      <c r="C50" t="s">
        <v>64</v>
      </c>
      <c r="D50" t="s">
        <v>75</v>
      </c>
      <c r="E50" t="s">
        <v>76</v>
      </c>
      <c r="F50" t="s">
        <v>77</v>
      </c>
      <c r="G50" t="s">
        <v>65</v>
      </c>
    </row>
    <row r="51" spans="1:9" x14ac:dyDescent="0.3">
      <c r="A51" t="s">
        <v>26</v>
      </c>
      <c r="B51">
        <f xml:space="preserve"> B36 - C51 + G51</f>
        <v>0.71418916309889613</v>
      </c>
      <c r="C51">
        <f xml:space="preserve"> ((B37 - B36)/C15)*B46</f>
        <v>5.2039785187061698E-2</v>
      </c>
      <c r="D51" s="1">
        <f>C14 - B47</f>
        <v>3.2597657166864811</v>
      </c>
      <c r="E51" s="1">
        <f>C15</f>
        <v>3.42</v>
      </c>
      <c r="F51" s="1">
        <f>C18-1</f>
        <v>45.5</v>
      </c>
      <c r="G51">
        <f xml:space="preserve"> 0.19*SQRT((D51/F51))*((D51+E51)/C18)</f>
        <v>7.3054903963013654E-3</v>
      </c>
      <c r="I51" t="s">
        <v>87</v>
      </c>
    </row>
    <row r="52" spans="1:9" x14ac:dyDescent="0.3">
      <c r="A52" t="s">
        <v>27</v>
      </c>
      <c r="B52">
        <f xml:space="preserve"> B42 - C52 -  G52</f>
        <v>0.21844502867160406</v>
      </c>
      <c r="C52">
        <f xml:space="preserve"> ((B42 - B43)/C14)*B47</f>
        <v>1.6537535553187759E-2</v>
      </c>
      <c r="D52" s="1">
        <f>C15 -B46</f>
        <v>0.97185981325917314</v>
      </c>
      <c r="E52" s="1">
        <f>C14 - B47</f>
        <v>3.2597657166864811</v>
      </c>
      <c r="F52" s="1">
        <f>C18-1</f>
        <v>45.5</v>
      </c>
      <c r="G52">
        <f xml:space="preserve"> 0.19*SQRT((D52/F52))*((D52+E52)/C14)</f>
        <v>2.8590063602399216E-2</v>
      </c>
      <c r="I52" t="s">
        <v>88</v>
      </c>
    </row>
    <row r="54" spans="1:9" x14ac:dyDescent="0.3">
      <c r="A54" t="s">
        <v>62</v>
      </c>
      <c r="C54" t="s">
        <v>95</v>
      </c>
      <c r="E54" t="s">
        <v>73</v>
      </c>
      <c r="F54" t="s">
        <v>72</v>
      </c>
      <c r="G54" t="s">
        <v>78</v>
      </c>
      <c r="H54" t="s">
        <v>79</v>
      </c>
      <c r="I54" t="s">
        <v>74</v>
      </c>
    </row>
    <row r="55" spans="1:9" x14ac:dyDescent="0.3">
      <c r="A55" t="s">
        <v>24</v>
      </c>
      <c r="B55">
        <f>B4*B51/((B2/1000) - 1)</f>
        <v>2.3038360099964388</v>
      </c>
      <c r="C55">
        <v>2.4</v>
      </c>
      <c r="F55">
        <v>2.4218269412268927</v>
      </c>
      <c r="G55">
        <v>2.2483319916405442</v>
      </c>
      <c r="H55">
        <v>2.0736214851866248</v>
      </c>
      <c r="I55">
        <v>2.6520015401690693</v>
      </c>
    </row>
    <row r="56" spans="1:9" x14ac:dyDescent="0.3">
      <c r="A56" t="s">
        <v>25</v>
      </c>
      <c r="B56">
        <f>B4*B52/((B2/1000) - 1)</f>
        <v>0.70466138281162594</v>
      </c>
      <c r="C56">
        <v>0.8</v>
      </c>
      <c r="F56">
        <v>0.87362006272610004</v>
      </c>
      <c r="G56">
        <v>0.841988579979012</v>
      </c>
      <c r="H56">
        <v>1.5815765741796601</v>
      </c>
      <c r="I56">
        <v>1.9716444532095452</v>
      </c>
    </row>
    <row r="59" spans="1:9" x14ac:dyDescent="0.3">
      <c r="A59" t="s">
        <v>28</v>
      </c>
      <c r="B59" t="s">
        <v>59</v>
      </c>
      <c r="C59" t="s">
        <v>60</v>
      </c>
      <c r="D59" t="s">
        <v>61</v>
      </c>
    </row>
    <row r="60" spans="1:9" x14ac:dyDescent="0.3">
      <c r="A60" t="s">
        <v>30</v>
      </c>
      <c r="B60">
        <f xml:space="preserve"> (B51 + B52)*C18*B4*B3*B8</f>
        <v>1701740.3043559608</v>
      </c>
      <c r="C60">
        <f xml:space="preserve"> (B52)*C18*B4*B3*B8</f>
        <v>398587.90601592907</v>
      </c>
      <c r="D60">
        <f xml:space="preserve"> (1/2)*ABS(B51 - B52)*C18*B4*B3*B8</f>
        <v>452282.24616205139</v>
      </c>
      <c r="E60">
        <f>C60+D60</f>
        <v>850870.1521779804</v>
      </c>
    </row>
    <row r="61" spans="1:9" x14ac:dyDescent="0.3">
      <c r="A61" t="s">
        <v>31</v>
      </c>
      <c r="B61">
        <f xml:space="preserve"> C61 + D61</f>
        <v>1634895.3599999999</v>
      </c>
      <c r="C61">
        <f xml:space="preserve"> C18*(C56)*B2*B8</f>
        <v>817447.68</v>
      </c>
      <c r="D61">
        <f xml:space="preserve"> (1/2)*C18*ABS(C55-C56)*B2*B8</f>
        <v>817447.67999999993</v>
      </c>
      <c r="E61">
        <f>C61+D61</f>
        <v>1634895.3599999999</v>
      </c>
      <c r="G61" t="s">
        <v>90</v>
      </c>
    </row>
    <row r="62" spans="1:9" x14ac:dyDescent="0.3">
      <c r="A62" t="s">
        <v>33</v>
      </c>
      <c r="B62">
        <f xml:space="preserve"> B4*(C20)*B3*B8</f>
        <v>1432260</v>
      </c>
      <c r="C62" t="s">
        <v>32</v>
      </c>
    </row>
    <row r="63" spans="1:9" x14ac:dyDescent="0.3">
      <c r="A63" t="s">
        <v>35</v>
      </c>
      <c r="B63">
        <f xml:space="preserve"> B4*B4*B3*B8/2</f>
        <v>78480</v>
      </c>
      <c r="C63" t="s">
        <v>34</v>
      </c>
    </row>
    <row r="65" spans="1:3" x14ac:dyDescent="0.3">
      <c r="A65" t="s">
        <v>58</v>
      </c>
      <c r="B65" t="s">
        <v>60</v>
      </c>
      <c r="C65" t="s">
        <v>61</v>
      </c>
    </row>
    <row r="66" spans="1:3" x14ac:dyDescent="0.3">
      <c r="A66" t="s">
        <v>96</v>
      </c>
      <c r="B66">
        <f>(1/2)*C18</f>
        <v>23.25</v>
      </c>
      <c r="C66">
        <f>(1/3)*C18</f>
        <v>15.5</v>
      </c>
    </row>
    <row r="67" spans="1:3" x14ac:dyDescent="0.3">
      <c r="A67" t="s">
        <v>31</v>
      </c>
      <c r="B67">
        <f>(1/2)*C18</f>
        <v>23.25</v>
      </c>
      <c r="C67">
        <f>(1/3)*C18</f>
        <v>15.5</v>
      </c>
    </row>
    <row r="68" spans="1:3" x14ac:dyDescent="0.3">
      <c r="A68" t="s">
        <v>35</v>
      </c>
      <c r="B68">
        <f>(1/3)*B4</f>
        <v>1.3333333333333333</v>
      </c>
    </row>
    <row r="69" spans="1:3" x14ac:dyDescent="0.3">
      <c r="A69" t="s">
        <v>97</v>
      </c>
      <c r="B69">
        <f>(1/2)*(C20)</f>
        <v>18.25</v>
      </c>
    </row>
    <row r="71" spans="1:3" x14ac:dyDescent="0.3">
      <c r="A71" t="s">
        <v>46</v>
      </c>
    </row>
    <row r="72" spans="1:3" x14ac:dyDescent="0.3">
      <c r="A72" t="s">
        <v>47</v>
      </c>
      <c r="B72" s="15">
        <f>B66*C60+C66*D60</f>
        <v>16277543.630382147</v>
      </c>
      <c r="C72" s="15"/>
    </row>
    <row r="73" spans="1:3" x14ac:dyDescent="0.3">
      <c r="A73" t="s">
        <v>48</v>
      </c>
      <c r="B73" s="15">
        <f>B67*C61+C67*D61</f>
        <v>31676097.600000001</v>
      </c>
      <c r="C73" s="15">
        <v>31262673.192024201</v>
      </c>
    </row>
    <row r="74" spans="1:3" x14ac:dyDescent="0.3">
      <c r="A74" t="s">
        <v>49</v>
      </c>
      <c r="B74" s="15">
        <f>B68*B62</f>
        <v>1909680</v>
      </c>
      <c r="C74" s="15"/>
    </row>
    <row r="75" spans="1:3" x14ac:dyDescent="0.3">
      <c r="A75" t="s">
        <v>50</v>
      </c>
      <c r="B75" s="15">
        <f>B69*B63</f>
        <v>1432260</v>
      </c>
      <c r="C75" s="15"/>
    </row>
    <row r="77" spans="1:3" x14ac:dyDescent="0.3">
      <c r="A77" t="s">
        <v>63</v>
      </c>
    </row>
    <row r="78" spans="1:3" x14ac:dyDescent="0.3">
      <c r="A78" t="s">
        <v>70</v>
      </c>
      <c r="B78" s="2">
        <f>B4/(B14*PI()*SQRT(B24))</f>
        <v>0.12476329251441023</v>
      </c>
    </row>
    <row r="79" spans="1:3" x14ac:dyDescent="0.3">
      <c r="A79" t="s">
        <v>98</v>
      </c>
      <c r="B79">
        <f>(B73+B74+B75)/(B72)</f>
        <v>2.151309705884529</v>
      </c>
    </row>
    <row r="80" spans="1:3" x14ac:dyDescent="0.3">
      <c r="A80" t="s">
        <v>52</v>
      </c>
      <c r="B80">
        <f>(B61+B62)/B60</f>
        <v>1.802363940108237</v>
      </c>
      <c r="C80" t="s">
        <v>51</v>
      </c>
    </row>
    <row r="81" spans="1:3" x14ac:dyDescent="0.3">
      <c r="A81" t="s">
        <v>53</v>
      </c>
      <c r="B81">
        <f xml:space="preserve"> B9*(C15+C14) + B9*C18*(C55+C56)</f>
        <v>156.33000000000001</v>
      </c>
      <c r="C81" t="s">
        <v>99</v>
      </c>
    </row>
    <row r="82" spans="1:3" x14ac:dyDescent="0.3">
      <c r="A82" t="s">
        <v>102</v>
      </c>
      <c r="B82">
        <f xml:space="preserve"> (B61+B62) - B60</f>
        <v>1365415.0556440391</v>
      </c>
    </row>
    <row r="83" spans="1:3" x14ac:dyDescent="0.3">
      <c r="A83" t="s">
        <v>101</v>
      </c>
      <c r="B83" s="15">
        <f xml:space="preserve"> (B73 +B75) - (B72 + B74)</f>
        <v>14921133.969617855</v>
      </c>
      <c r="C83" t="s">
        <v>36</v>
      </c>
    </row>
    <row r="84" spans="1:3" x14ac:dyDescent="0.3">
      <c r="A84" t="s">
        <v>103</v>
      </c>
      <c r="B84">
        <f xml:space="preserve"> B83/B82</f>
        <v>10.927910826777762</v>
      </c>
      <c r="C84" t="s">
        <v>38</v>
      </c>
    </row>
    <row r="85" spans="1:3" x14ac:dyDescent="0.3">
      <c r="A85" t="s">
        <v>100</v>
      </c>
      <c r="B85">
        <f>ABS((B83/B82)-(C20/2))/C20</f>
        <v>0.20060518282800655</v>
      </c>
      <c r="C85" t="s">
        <v>37</v>
      </c>
    </row>
    <row r="86" spans="1:3" x14ac:dyDescent="0.3">
      <c r="C86" t="s">
        <v>104</v>
      </c>
    </row>
    <row r="87" spans="1:3" x14ac:dyDescent="0.3">
      <c r="A87" t="s">
        <v>39</v>
      </c>
      <c r="C87" t="s">
        <v>39</v>
      </c>
    </row>
    <row r="88" spans="1:3" x14ac:dyDescent="0.3">
      <c r="A88" t="s">
        <v>40</v>
      </c>
      <c r="C88" t="s">
        <v>40</v>
      </c>
    </row>
    <row r="89" spans="1:3" x14ac:dyDescent="0.3">
      <c r="A89" t="s">
        <v>41</v>
      </c>
      <c r="C89" t="s">
        <v>41</v>
      </c>
    </row>
    <row r="90" spans="1:3" x14ac:dyDescent="0.3">
      <c r="A90" t="s">
        <v>42</v>
      </c>
      <c r="C90" t="s">
        <v>42</v>
      </c>
    </row>
    <row r="92" spans="1:3" x14ac:dyDescent="0.3">
      <c r="A92" t="s">
        <v>43</v>
      </c>
      <c r="C92" t="s">
        <v>43</v>
      </c>
    </row>
    <row r="93" spans="1:3" x14ac:dyDescent="0.3">
      <c r="A93" t="s">
        <v>44</v>
      </c>
      <c r="C93" t="s">
        <v>44</v>
      </c>
    </row>
    <row r="94" spans="1:3" x14ac:dyDescent="0.3">
      <c r="A94" t="s">
        <v>45</v>
      </c>
      <c r="C94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2022-08-29T19:36:42Z</dcterms:modified>
</cp:coreProperties>
</file>