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Backup\Aerospace\AER4210—Design of Aircraft Structures\Exam(OpenBook)\Finalized\"/>
    </mc:Choice>
  </mc:AlternateContent>
  <xr:revisionPtr revIDLastSave="0" documentId="13_ncr:1_{B92DEBD2-C12D-46B7-997C-631807B44F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ymmetrical_TwoCe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7" i="1" l="1"/>
  <c r="R77" i="1"/>
  <c r="V77" i="1"/>
  <c r="Q78" i="1"/>
  <c r="R78" i="1"/>
  <c r="V78" i="1"/>
  <c r="S31" i="1"/>
  <c r="S34" i="1"/>
  <c r="T34" i="1"/>
  <c r="U34" i="1"/>
  <c r="V34" i="1"/>
  <c r="G84" i="1" l="1"/>
  <c r="U31" i="1"/>
  <c r="S32" i="1"/>
  <c r="T32" i="1"/>
  <c r="U32" i="1"/>
  <c r="V32" i="1"/>
  <c r="S18" i="1"/>
  <c r="S35" i="1" s="1"/>
  <c r="T18" i="1"/>
  <c r="T35" i="1" s="1"/>
  <c r="U18" i="1"/>
  <c r="U35" i="1" s="1"/>
  <c r="V18" i="1"/>
  <c r="V35" i="1" s="1"/>
  <c r="S19" i="1"/>
  <c r="T19" i="1"/>
  <c r="T36" i="1" s="1"/>
  <c r="U19" i="1"/>
  <c r="U36" i="1" s="1"/>
  <c r="V19" i="1"/>
  <c r="V36" i="1" s="1"/>
  <c r="S20" i="1"/>
  <c r="S37" i="1" s="1"/>
  <c r="T20" i="1"/>
  <c r="T37" i="1" s="1"/>
  <c r="U20" i="1"/>
  <c r="U37" i="1" s="1"/>
  <c r="V20" i="1"/>
  <c r="V37" i="1" s="1"/>
  <c r="T13" i="1"/>
  <c r="U13" i="1"/>
  <c r="V13" i="1"/>
  <c r="V30" i="1" s="1"/>
  <c r="S13" i="1"/>
  <c r="S30" i="1" s="1"/>
  <c r="Q16" i="1"/>
  <c r="Q33" i="1" s="1"/>
  <c r="Q17" i="1"/>
  <c r="Q34" i="1" s="1"/>
  <c r="Q35" i="1"/>
  <c r="Q36" i="1"/>
  <c r="Q30" i="1"/>
  <c r="Q14" i="1"/>
  <c r="Q31" i="1" s="1"/>
  <c r="Q15" i="1"/>
  <c r="Q32" i="1" s="1"/>
  <c r="T30" i="1"/>
  <c r="H3" i="1"/>
  <c r="P30" i="1"/>
  <c r="P31" i="1"/>
  <c r="P32" i="1"/>
  <c r="P33" i="1"/>
  <c r="P34" i="1"/>
  <c r="P35" i="1"/>
  <c r="P36" i="1"/>
  <c r="P37" i="1"/>
  <c r="R16" i="1"/>
  <c r="R33" i="1" s="1"/>
  <c r="V31" i="1"/>
  <c r="T33" i="1"/>
  <c r="U33" i="1"/>
  <c r="V33" i="1"/>
  <c r="S33" i="1"/>
  <c r="S36" i="1"/>
  <c r="Q37" i="1"/>
  <c r="N31" i="1"/>
  <c r="N32" i="1"/>
  <c r="N33" i="1"/>
  <c r="N34" i="1"/>
  <c r="N35" i="1"/>
  <c r="N36" i="1"/>
  <c r="N37" i="1"/>
  <c r="N30" i="1"/>
  <c r="N14" i="1"/>
  <c r="N15" i="1"/>
  <c r="N16" i="1"/>
  <c r="N17" i="1"/>
  <c r="N18" i="1"/>
  <c r="N19" i="1"/>
  <c r="N20" i="1"/>
  <c r="N13" i="1"/>
  <c r="T75" i="1"/>
  <c r="T74" i="1"/>
  <c r="T73" i="1"/>
  <c r="T72" i="1"/>
  <c r="T71" i="1"/>
  <c r="T70" i="1"/>
  <c r="T69" i="1"/>
  <c r="T68" i="1"/>
  <c r="T67" i="1"/>
  <c r="D37" i="1"/>
  <c r="C37" i="1"/>
  <c r="D36" i="1"/>
  <c r="C36" i="1"/>
  <c r="D35" i="1"/>
  <c r="C35" i="1"/>
  <c r="D34" i="1"/>
  <c r="C34" i="1"/>
  <c r="D33" i="1"/>
  <c r="D32" i="1"/>
  <c r="D31" i="1"/>
  <c r="D30" i="1"/>
  <c r="O20" i="1"/>
  <c r="O37" i="1" s="1"/>
  <c r="O19" i="1"/>
  <c r="O36" i="1" s="1"/>
  <c r="O18" i="1"/>
  <c r="B18" i="1" s="1"/>
  <c r="B35" i="1" s="1"/>
  <c r="O17" i="1"/>
  <c r="O34" i="1" s="1"/>
  <c r="O16" i="1"/>
  <c r="O33" i="1" s="1"/>
  <c r="C16" i="1"/>
  <c r="C33" i="1" s="1"/>
  <c r="O15" i="1"/>
  <c r="O32" i="1" s="1"/>
  <c r="C15" i="1"/>
  <c r="C32" i="1" s="1"/>
  <c r="O14" i="1"/>
  <c r="O31" i="1" s="1"/>
  <c r="C14" i="1"/>
  <c r="C31" i="1" s="1"/>
  <c r="O13" i="1"/>
  <c r="O30" i="1" s="1"/>
  <c r="C13" i="1"/>
  <c r="C30" i="1" s="1"/>
  <c r="B8" i="1"/>
  <c r="R14" i="1" l="1"/>
  <c r="R31" i="1" s="1"/>
  <c r="R17" i="1"/>
  <c r="R34" i="1" s="1"/>
  <c r="T31" i="1"/>
  <c r="R15" i="1"/>
  <c r="R32" i="1" s="1"/>
  <c r="R13" i="1"/>
  <c r="B17" i="1"/>
  <c r="B34" i="1" s="1"/>
  <c r="E34" i="1" s="1"/>
  <c r="B19" i="1"/>
  <c r="F19" i="1" s="1"/>
  <c r="B15" i="1"/>
  <c r="B32" i="1" s="1"/>
  <c r="B13" i="1"/>
  <c r="B16" i="1"/>
  <c r="F16" i="1" s="1"/>
  <c r="B20" i="1"/>
  <c r="F20" i="1" s="1"/>
  <c r="R20" i="1"/>
  <c r="R37" i="1" s="1"/>
  <c r="B14" i="1"/>
  <c r="F14" i="1" s="1"/>
  <c r="R19" i="1"/>
  <c r="R36" i="1" s="1"/>
  <c r="O35" i="1"/>
  <c r="R18" i="1"/>
  <c r="R35" i="1" s="1"/>
  <c r="E35" i="1"/>
  <c r="F35" i="1"/>
  <c r="E18" i="1"/>
  <c r="F18" i="1"/>
  <c r="U30" i="1" l="1"/>
  <c r="R30" i="1"/>
  <c r="F13" i="1"/>
  <c r="F15" i="1"/>
  <c r="B36" i="1"/>
  <c r="E36" i="1" s="1"/>
  <c r="F34" i="1"/>
  <c r="F17" i="1"/>
  <c r="E17" i="1"/>
  <c r="E19" i="1"/>
  <c r="E15" i="1"/>
  <c r="E20" i="1"/>
  <c r="E16" i="1"/>
  <c r="B33" i="1"/>
  <c r="E33" i="1" s="1"/>
  <c r="B30" i="1"/>
  <c r="E30" i="1" s="1"/>
  <c r="E13" i="1"/>
  <c r="E14" i="1"/>
  <c r="B37" i="1"/>
  <c r="F37" i="1" s="1"/>
  <c r="B22" i="1"/>
  <c r="B31" i="1"/>
  <c r="F31" i="1" s="1"/>
  <c r="E32" i="1"/>
  <c r="F32" i="1"/>
  <c r="F22" i="1" l="1"/>
  <c r="B25" i="1" s="1"/>
  <c r="F36" i="1"/>
  <c r="F33" i="1"/>
  <c r="E22" i="1"/>
  <c r="B24" i="1" s="1"/>
  <c r="F30" i="1"/>
  <c r="E31" i="1"/>
  <c r="B39" i="1"/>
  <c r="E37" i="1"/>
  <c r="F39" i="1" l="1"/>
  <c r="B43" i="1" s="1"/>
  <c r="E39" i="1"/>
  <c r="B42" i="1" s="1"/>
  <c r="H37" i="1"/>
  <c r="J37" i="1" s="1"/>
  <c r="G18" i="1"/>
  <c r="I18" i="1" s="1"/>
  <c r="G37" i="1"/>
  <c r="I37" i="1" s="1"/>
  <c r="H33" i="1"/>
  <c r="J33" i="1" s="1"/>
  <c r="H32" i="1"/>
  <c r="J32" i="1" s="1"/>
  <c r="H19" i="1"/>
  <c r="H34" i="1"/>
  <c r="J34" i="1" s="1"/>
  <c r="G36" i="1"/>
  <c r="I36" i="1" s="1"/>
  <c r="G35" i="1"/>
  <c r="I35" i="1" s="1"/>
  <c r="G32" i="1"/>
  <c r="I32" i="1" s="1"/>
  <c r="G17" i="1"/>
  <c r="F71" i="1" s="1"/>
  <c r="G31" i="1"/>
  <c r="I31" i="1" s="1"/>
  <c r="H36" i="1"/>
  <c r="J36" i="1" s="1"/>
  <c r="H16" i="1"/>
  <c r="J16" i="1" s="1"/>
  <c r="G16" i="1"/>
  <c r="G69" i="1" s="1"/>
  <c r="H17" i="1"/>
  <c r="K71" i="1" s="1"/>
  <c r="G34" i="1"/>
  <c r="I34" i="1" s="1"/>
  <c r="G13" i="1"/>
  <c r="F67" i="1" s="1"/>
  <c r="H18" i="1"/>
  <c r="J18" i="1" s="1"/>
  <c r="H31" i="1"/>
  <c r="J31" i="1" s="1"/>
  <c r="G30" i="1"/>
  <c r="I30" i="1" s="1"/>
  <c r="H30" i="1"/>
  <c r="J30" i="1" s="1"/>
  <c r="G19" i="1"/>
  <c r="G14" i="1"/>
  <c r="G67" i="1" s="1"/>
  <c r="G33" i="1"/>
  <c r="I33" i="1" s="1"/>
  <c r="H14" i="1"/>
  <c r="K68" i="1" s="1"/>
  <c r="H13" i="1"/>
  <c r="K67" i="1" s="1"/>
  <c r="H20" i="1"/>
  <c r="K74" i="1" s="1"/>
  <c r="G15" i="1"/>
  <c r="I15" i="1" s="1"/>
  <c r="G20" i="1"/>
  <c r="F74" i="1" s="1"/>
  <c r="H15" i="1"/>
  <c r="K69" i="1" s="1"/>
  <c r="H35" i="1"/>
  <c r="J35" i="1" s="1"/>
  <c r="G72" i="1" l="1"/>
  <c r="A62" i="1"/>
  <c r="E67" i="1" s="1"/>
  <c r="K75" i="1"/>
  <c r="B62" i="1"/>
  <c r="F84" i="1" s="1"/>
  <c r="G71" i="1"/>
  <c r="H71" i="1" s="1"/>
  <c r="F72" i="1"/>
  <c r="K37" i="1"/>
  <c r="L72" i="1"/>
  <c r="K73" i="1"/>
  <c r="J19" i="1"/>
  <c r="F68" i="1"/>
  <c r="H67" i="1"/>
  <c r="G74" i="1"/>
  <c r="H74" i="1" s="1"/>
  <c r="L70" i="1"/>
  <c r="G70" i="1"/>
  <c r="K32" i="1"/>
  <c r="I19" i="1"/>
  <c r="I14" i="1"/>
  <c r="J17" i="1"/>
  <c r="F69" i="1"/>
  <c r="H69" i="1" s="1"/>
  <c r="I13" i="1"/>
  <c r="K16" i="1"/>
  <c r="I17" i="1"/>
  <c r="K72" i="1"/>
  <c r="J39" i="1"/>
  <c r="K70" i="1"/>
  <c r="L69" i="1"/>
  <c r="K17" i="1"/>
  <c r="L75" i="1"/>
  <c r="F75" i="1"/>
  <c r="F73" i="1"/>
  <c r="K36" i="1"/>
  <c r="L71" i="1"/>
  <c r="M71" i="1" s="1"/>
  <c r="I16" i="1"/>
  <c r="K4" i="1"/>
  <c r="K34" i="1"/>
  <c r="K19" i="1"/>
  <c r="G75" i="1"/>
  <c r="F70" i="1"/>
  <c r="I39" i="1"/>
  <c r="K18" i="1"/>
  <c r="G73" i="1"/>
  <c r="K14" i="1"/>
  <c r="J13" i="1"/>
  <c r="K30" i="1"/>
  <c r="L74" i="1"/>
  <c r="K31" i="1"/>
  <c r="K33" i="1"/>
  <c r="J14" i="1"/>
  <c r="L67" i="1"/>
  <c r="M67" i="1" s="1"/>
  <c r="K35" i="1"/>
  <c r="K15" i="1"/>
  <c r="J15" i="1"/>
  <c r="L68" i="1"/>
  <c r="M68" i="1" s="1"/>
  <c r="I20" i="1"/>
  <c r="G68" i="1"/>
  <c r="K13" i="1"/>
  <c r="J20" i="1"/>
  <c r="K20" i="1"/>
  <c r="L73" i="1"/>
  <c r="E71" i="1" l="1"/>
  <c r="E84" i="1"/>
  <c r="M75" i="1"/>
  <c r="H72" i="1"/>
  <c r="J67" i="1"/>
  <c r="J68" i="1" s="1"/>
  <c r="M73" i="1"/>
  <c r="H68" i="1"/>
  <c r="S72" i="1"/>
  <c r="U72" i="1" s="1"/>
  <c r="M70" i="1"/>
  <c r="H70" i="1"/>
  <c r="M72" i="1"/>
  <c r="H73" i="1"/>
  <c r="S74" i="1"/>
  <c r="U74" i="1" s="1"/>
  <c r="S75" i="1"/>
  <c r="U75" i="1" s="1"/>
  <c r="X77" i="1" s="1"/>
  <c r="E72" i="1"/>
  <c r="E75" i="1"/>
  <c r="E74" i="1"/>
  <c r="I22" i="1"/>
  <c r="S69" i="1"/>
  <c r="U69" i="1" s="1"/>
  <c r="M69" i="1"/>
  <c r="K39" i="1"/>
  <c r="I42" i="1" s="1"/>
  <c r="S71" i="1"/>
  <c r="U71" i="1" s="1"/>
  <c r="S70" i="1"/>
  <c r="U70" i="1" s="1"/>
  <c r="E69" i="1"/>
  <c r="S68" i="1"/>
  <c r="U68" i="1" s="1"/>
  <c r="E73" i="1"/>
  <c r="E70" i="1"/>
  <c r="E68" i="1"/>
  <c r="H75" i="1"/>
  <c r="M74" i="1"/>
  <c r="K22" i="1"/>
  <c r="J22" i="1"/>
  <c r="S67" i="1"/>
  <c r="U67" i="1" s="1"/>
  <c r="S73" i="1"/>
  <c r="U73" i="1" s="1"/>
  <c r="P68" i="1" l="1"/>
  <c r="Q68" i="1" s="1"/>
  <c r="P67" i="1"/>
  <c r="Q67" i="1" s="1"/>
  <c r="J70" i="1"/>
  <c r="P70" i="1" s="1"/>
  <c r="J69" i="1"/>
  <c r="P69" i="1" s="1"/>
  <c r="J73" i="1"/>
  <c r="P73" i="1" s="1"/>
  <c r="J74" i="1"/>
  <c r="P74" i="1" s="1"/>
  <c r="J75" i="1"/>
  <c r="P75" i="1" s="1"/>
  <c r="J71" i="1"/>
  <c r="J72" i="1"/>
  <c r="W78" i="1"/>
  <c r="X78" i="1"/>
  <c r="K42" i="1"/>
  <c r="I44" i="1" s="1"/>
  <c r="J42" i="1"/>
  <c r="J44" i="1" s="1"/>
  <c r="I24" i="1"/>
  <c r="K24" i="1"/>
  <c r="J24" i="1"/>
  <c r="W77" i="1"/>
  <c r="Q69" i="1" l="1"/>
  <c r="Q70" i="1"/>
  <c r="P72" i="1"/>
  <c r="Q72" i="1" s="1"/>
  <c r="Q75" i="1"/>
  <c r="Q74" i="1"/>
  <c r="Q73" i="1"/>
  <c r="P71" i="1"/>
  <c r="P78" i="1" s="1"/>
  <c r="L35" i="1"/>
  <c r="M35" i="1" s="1"/>
  <c r="C53" i="1" s="1"/>
  <c r="P77" i="1"/>
  <c r="L33" i="1"/>
  <c r="M33" i="1" s="1"/>
  <c r="C51" i="1" s="1"/>
  <c r="L31" i="1"/>
  <c r="M31" i="1" s="1"/>
  <c r="C49" i="1" s="1"/>
  <c r="L34" i="1"/>
  <c r="M34" i="1" s="1"/>
  <c r="C52" i="1" s="1"/>
  <c r="L30" i="1"/>
  <c r="M30" i="1" s="1"/>
  <c r="L37" i="1"/>
  <c r="M37" i="1" s="1"/>
  <c r="C55" i="1" s="1"/>
  <c r="L36" i="1"/>
  <c r="M36" i="1" s="1"/>
  <c r="C54" i="1" s="1"/>
  <c r="L32" i="1"/>
  <c r="M32" i="1" s="1"/>
  <c r="C50" i="1" s="1"/>
  <c r="I26" i="1"/>
  <c r="J26" i="1"/>
  <c r="A84" i="1" l="1"/>
  <c r="A89" i="1" s="1"/>
  <c r="Q71" i="1"/>
  <c r="B84" i="1" s="1"/>
  <c r="B89" i="1" s="1"/>
  <c r="L13" i="1"/>
  <c r="C48" i="1"/>
  <c r="M39" i="1"/>
  <c r="L16" i="1"/>
  <c r="M16" i="1" s="1"/>
  <c r="B51" i="1" s="1"/>
  <c r="D51" i="1" s="1"/>
  <c r="L18" i="1"/>
  <c r="M18" i="1" s="1"/>
  <c r="B53" i="1" s="1"/>
  <c r="D53" i="1" s="1"/>
  <c r="L14" i="1"/>
  <c r="M14" i="1" s="1"/>
  <c r="B49" i="1" s="1"/>
  <c r="D49" i="1" s="1"/>
  <c r="L19" i="1"/>
  <c r="M19" i="1" s="1"/>
  <c r="B54" i="1" s="1"/>
  <c r="D54" i="1" s="1"/>
  <c r="L20" i="1"/>
  <c r="M20" i="1" s="1"/>
  <c r="B55" i="1" s="1"/>
  <c r="D55" i="1" s="1"/>
  <c r="L15" i="1"/>
  <c r="M15" i="1" s="1"/>
  <c r="B50" i="1" s="1"/>
  <c r="D50" i="1" s="1"/>
  <c r="L17" i="1"/>
  <c r="M17" i="1" s="1"/>
  <c r="B52" i="1" s="1"/>
  <c r="D52" i="1" s="1"/>
  <c r="A81" i="1" l="1"/>
  <c r="A88" i="1" s="1"/>
  <c r="B81" i="1"/>
  <c r="B88" i="1" s="1"/>
  <c r="D88" i="1" l="1" a="1"/>
  <c r="E88" i="1" s="1"/>
  <c r="E51" i="1"/>
  <c r="E54" i="1"/>
  <c r="E53" i="1"/>
  <c r="E55" i="1"/>
  <c r="E52" i="1"/>
  <c r="E50" i="1"/>
  <c r="E49" i="1"/>
  <c r="D88" i="1" l="1"/>
  <c r="D89" i="1"/>
  <c r="E89" i="1"/>
  <c r="D68" i="1"/>
  <c r="V68" i="1" s="1"/>
  <c r="D69" i="1" l="1"/>
  <c r="I69" i="1" s="1"/>
  <c r="R68" i="1"/>
  <c r="N68" i="1"/>
  <c r="I68" i="1"/>
  <c r="N69" i="1" l="1"/>
  <c r="D70" i="1"/>
  <c r="R70" i="1" s="1"/>
  <c r="V69" i="1"/>
  <c r="R69" i="1"/>
  <c r="N70" i="1" l="1"/>
  <c r="I70" i="1"/>
  <c r="D71" i="1"/>
  <c r="I71" i="1" s="1"/>
  <c r="V70" i="1"/>
  <c r="D75" i="1"/>
  <c r="R75" i="1" s="1"/>
  <c r="N71" i="1" l="1"/>
  <c r="D72" i="1"/>
  <c r="R72" i="1" s="1"/>
  <c r="R71" i="1"/>
  <c r="V71" i="1"/>
  <c r="V75" i="1"/>
  <c r="N75" i="1"/>
  <c r="I75" i="1"/>
  <c r="D73" i="1" l="1"/>
  <c r="I72" i="1"/>
  <c r="N72" i="1"/>
  <c r="V72" i="1"/>
  <c r="I73" i="1" l="1"/>
  <c r="D74" i="1"/>
  <c r="R73" i="1"/>
  <c r="N73" i="1"/>
  <c r="V73" i="1"/>
  <c r="R74" i="1" l="1"/>
  <c r="V74" i="1"/>
  <c r="I74" i="1"/>
  <c r="N74" i="1"/>
  <c r="M13" i="1" l="1"/>
  <c r="M22" i="1" s="1"/>
  <c r="B48" i="1" l="1"/>
  <c r="D48" i="1" s="1"/>
  <c r="E48" i="1" s="1"/>
  <c r="D67" i="1" l="1"/>
  <c r="R67" i="1" s="1"/>
  <c r="H84" i="1" s="1"/>
  <c r="V67" i="1" l="1"/>
  <c r="C81" i="1" s="1"/>
  <c r="G88" i="1" s="1"/>
  <c r="N67" i="1"/>
  <c r="N76" i="1" s="1"/>
  <c r="N77" i="1" s="1"/>
  <c r="I67" i="1"/>
  <c r="I76" i="1" s="1"/>
  <c r="I77" i="1" s="1"/>
  <c r="C84" i="1"/>
  <c r="G89" i="1" s="1"/>
  <c r="I88" i="1" l="1" a="1"/>
  <c r="I88" i="1" s="1"/>
  <c r="Y68" i="1" s="1"/>
  <c r="AA68" i="1" s="1"/>
  <c r="I89" i="1" l="1"/>
  <c r="Y70" i="1" s="1"/>
  <c r="AA70" i="1" s="1"/>
  <c r="Y73" i="1"/>
  <c r="AA73" i="1" s="1"/>
  <c r="Y74" i="1"/>
  <c r="AA74" i="1" s="1"/>
  <c r="Y67" i="1"/>
  <c r="Y69" i="1"/>
  <c r="Z68" i="1"/>
  <c r="Z70" i="1" l="1"/>
  <c r="Y71" i="1"/>
  <c r="AA71" i="1" s="1"/>
  <c r="Y72" i="1"/>
  <c r="Z72" i="1" s="1"/>
  <c r="Y75" i="1"/>
  <c r="AA75" i="1" s="1"/>
  <c r="Z73" i="1"/>
  <c r="Z74" i="1"/>
  <c r="AA69" i="1"/>
  <c r="Z69" i="1"/>
  <c r="Z67" i="1"/>
  <c r="AA67" i="1"/>
  <c r="AA72" i="1" l="1"/>
  <c r="AA77" i="1" s="1"/>
  <c r="AA78" i="1" s="1"/>
  <c r="Z75" i="1"/>
  <c r="Z71" i="1"/>
  <c r="Z77" i="1" s="1"/>
  <c r="Z7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Roaa Tareq</author>
  </authors>
  <commentList>
    <comment ref="D3" authorId="0" shapeId="0" xr:uid="{37671785-A089-4AEB-8A91-8AF6C265A2B3}">
      <text>
        <r>
          <rPr>
            <b/>
            <sz val="9"/>
            <color indexed="81"/>
            <rFont val="Tahoma"/>
          </rPr>
          <t>Roaa Tareq:</t>
        </r>
        <r>
          <rPr>
            <sz val="9"/>
            <color indexed="81"/>
            <rFont val="Tahoma"/>
          </rPr>
          <t xml:space="preserve">
+ve causes compression in the upper flanges (Acounted for in stress equation)</t>
        </r>
      </text>
    </comment>
    <comment ref="G3" authorId="0" shapeId="0" xr:uid="{EB262FF4-C19C-4B69-8279-E2669D7485EF}">
      <text>
        <r>
          <rPr>
            <b/>
            <sz val="9"/>
            <color indexed="81"/>
            <rFont val="Tahoma"/>
          </rPr>
          <t>Roaa Tareq:</t>
        </r>
        <r>
          <rPr>
            <sz val="9"/>
            <color indexed="81"/>
            <rFont val="Tahoma"/>
          </rPr>
          <t xml:space="preserve">
+ve causes compression in the upper flanges (Acounted for in stress equation)</t>
        </r>
      </text>
    </comment>
    <comment ref="D4" authorId="0" shapeId="0" xr:uid="{071268C3-82EF-4E5F-A36A-3C62E2143675}">
      <text>
        <r>
          <rPr>
            <b/>
            <sz val="9"/>
            <color indexed="81"/>
            <rFont val="Tahoma"/>
          </rPr>
          <t>Roaa Tareq:</t>
        </r>
        <r>
          <rPr>
            <sz val="9"/>
            <color indexed="81"/>
            <rFont val="Tahoma"/>
          </rPr>
          <t xml:space="preserve">
+ve causes compression in the upper flanges (Acounted for in stress equation)</t>
        </r>
      </text>
    </comment>
    <comment ref="G4" authorId="0" shapeId="0" xr:uid="{40493745-0C95-4256-A874-595E0925B60E}">
      <text>
        <r>
          <rPr>
            <b/>
            <sz val="9"/>
            <color indexed="81"/>
            <rFont val="Tahoma"/>
          </rPr>
          <t>Roaa Tareq:</t>
        </r>
        <r>
          <rPr>
            <sz val="9"/>
            <color indexed="81"/>
            <rFont val="Tahoma"/>
          </rPr>
          <t xml:space="preserve">
+ve causes compression in the upper flanges (Acounted for in stress equation)</t>
        </r>
      </text>
    </comment>
    <comment ref="D5" authorId="0" shapeId="0" xr:uid="{DA9FF977-5571-4F15-8DF7-DFB269E08FBD}">
      <text>
        <r>
          <rPr>
            <b/>
            <sz val="9"/>
            <color indexed="81"/>
            <rFont val="Tahoma"/>
            <family val="2"/>
          </rPr>
          <t>Roaa Tareq:</t>
        </r>
        <r>
          <rPr>
            <sz val="9"/>
            <color indexed="81"/>
            <rFont val="Tahoma"/>
            <family val="2"/>
          </rPr>
          <t xml:space="preserve">
Depending on the moment direction assumed in tourque balance equation.</t>
        </r>
      </text>
    </comment>
    <comment ref="G5" authorId="0" shapeId="0" xr:uid="{119BB8F8-6556-4E5B-B9EB-6A76EE9EBBB3}">
      <text>
        <r>
          <rPr>
            <b/>
            <sz val="9"/>
            <color indexed="81"/>
            <rFont val="Tahoma"/>
            <family val="2"/>
          </rPr>
          <t>Roaa Tareq:</t>
        </r>
        <r>
          <rPr>
            <sz val="9"/>
            <color indexed="81"/>
            <rFont val="Tahoma"/>
            <family val="2"/>
          </rPr>
          <t xml:space="preserve">
Depending on the moment direction assumed in tourque balance equation.</t>
        </r>
      </text>
    </comment>
    <comment ref="B8" authorId="0" shapeId="0" xr:uid="{B6363336-E510-4A6C-8FA5-637887AE81E0}">
      <text>
        <r>
          <rPr>
            <b/>
            <sz val="9"/>
            <color indexed="81"/>
            <rFont val="Tahoma"/>
            <family val="2"/>
          </rPr>
          <t>Roaa Tareq:</t>
        </r>
        <r>
          <rPr>
            <sz val="9"/>
            <color indexed="81"/>
            <rFont val="Tahoma"/>
            <family val="2"/>
          </rPr>
          <t xml:space="preserve">
If not given: 30*t</t>
        </r>
      </text>
    </comment>
    <comment ref="D8" authorId="0" shapeId="0" xr:uid="{AA3368BA-51E2-42E9-8E64-ADE72DD7ED16}">
      <text>
        <r>
          <rPr>
            <b/>
            <sz val="9"/>
            <color indexed="81"/>
            <rFont val="Tahoma"/>
            <family val="2"/>
          </rPr>
          <t>Roaa Tareq:</t>
        </r>
        <r>
          <rPr>
            <sz val="9"/>
            <color indexed="81"/>
            <rFont val="Tahoma"/>
            <family val="2"/>
          </rPr>
          <t xml:space="preserve">
Yes: Area Effective included
No: Area Effective ignored</t>
        </r>
      </text>
    </comment>
    <comment ref="P12" authorId="0" shapeId="0" xr:uid="{5B2BD3B1-1E46-41F4-9254-947C53375F51}">
      <text>
        <r>
          <rPr>
            <b/>
            <sz val="9"/>
            <color indexed="81"/>
            <rFont val="Tahoma"/>
            <family val="2"/>
          </rPr>
          <t>Roaa Tareq:</t>
        </r>
        <r>
          <rPr>
            <sz val="9"/>
            <color indexed="81"/>
            <rFont val="Tahoma"/>
            <family val="2"/>
          </rPr>
          <t xml:space="preserve">
C: Compression
T: Tension
CT: Neutral(i.e., P=0)</t>
        </r>
      </text>
    </comment>
    <comment ref="Q12" authorId="0" shapeId="0" xr:uid="{9D626D27-530A-419E-86BF-A5AF1D9FBC65}">
      <text>
        <r>
          <rPr>
            <b/>
            <sz val="9"/>
            <color indexed="81"/>
            <rFont val="Tahoma"/>
            <family val="2"/>
          </rPr>
          <t>Roaa Tareq:</t>
        </r>
        <r>
          <rPr>
            <sz val="9"/>
            <color indexed="81"/>
            <rFont val="Tahoma"/>
            <family val="2"/>
          </rPr>
          <t xml:space="preserve">
Number of webs connected to the stringer.</t>
        </r>
      </text>
    </comment>
    <comment ref="A60" authorId="0" shapeId="0" xr:uid="{2AA1B890-6A2B-4B84-9D2F-060750C5CA5E}">
      <text>
        <r>
          <rPr>
            <b/>
            <sz val="9"/>
            <color indexed="81"/>
            <rFont val="Tahoma"/>
            <family val="2"/>
          </rPr>
          <t>Roaa Tareq:</t>
        </r>
        <r>
          <rPr>
            <sz val="9"/>
            <color indexed="81"/>
            <rFont val="Tahoma"/>
            <family val="2"/>
          </rPr>
          <t xml:space="preserve">
X=0 and Y=0 at c.g.</t>
        </r>
      </text>
    </comment>
    <comment ref="A75" authorId="0" shapeId="0" xr:uid="{7CB22BAE-05DE-4C6F-992F-C5ADC70E7AD8}">
      <text>
        <r>
          <rPr>
            <b/>
            <sz val="9"/>
            <color indexed="81"/>
            <rFont val="Tahoma"/>
          </rPr>
          <t>Roaa Tareq:</t>
        </r>
        <r>
          <rPr>
            <sz val="9"/>
            <color indexed="81"/>
            <rFont val="Tahoma"/>
          </rPr>
          <t xml:space="preserve">
Check the sign of the corrective shear added in q_tot term.</t>
        </r>
      </text>
    </comment>
    <comment ref="P77" authorId="0" shapeId="0" xr:uid="{FA6A39E6-1AEE-4701-AC97-BC5780A053AB}">
      <text>
        <r>
          <rPr>
            <b/>
            <sz val="9"/>
            <color indexed="81"/>
            <rFont val="Tahoma"/>
            <family val="2"/>
          </rPr>
          <t>Roaa Tareq:</t>
        </r>
        <r>
          <rPr>
            <sz val="9"/>
            <color indexed="81"/>
            <rFont val="Tahoma"/>
            <family val="2"/>
          </rPr>
          <t xml:space="preserve">
If the point of moment is not on the common web, the overlaped regions should be subtracted.</t>
        </r>
      </text>
    </comment>
    <comment ref="P78" authorId="0" shapeId="0" xr:uid="{2FF29EC3-0EBF-4000-BAEB-43462D9706A8}">
      <text>
        <r>
          <rPr>
            <b/>
            <sz val="9"/>
            <color indexed="81"/>
            <rFont val="Tahoma"/>
            <family val="2"/>
          </rPr>
          <t>Roaa Tareq:</t>
        </r>
        <r>
          <rPr>
            <sz val="9"/>
            <color indexed="81"/>
            <rFont val="Tahoma"/>
            <family val="2"/>
          </rPr>
          <t xml:space="preserve">
If the point of moment is not on the common web, the overlaped regions should be subtracted.</t>
        </r>
      </text>
    </comment>
  </commentList>
</comments>
</file>

<file path=xl/sharedStrings.xml><?xml version="1.0" encoding="utf-8"?>
<sst xmlns="http://schemas.openxmlformats.org/spreadsheetml/2006/main" count="206" uniqueCount="138">
  <si>
    <t>A1(in^2)</t>
  </si>
  <si>
    <t>A2(in^2)</t>
  </si>
  <si>
    <t>Stringer No.</t>
  </si>
  <si>
    <t>Area(in^2)</t>
  </si>
  <si>
    <t>x</t>
  </si>
  <si>
    <t>z</t>
  </si>
  <si>
    <t>A*x</t>
  </si>
  <si>
    <t>A*z</t>
  </si>
  <si>
    <t>Location of c.g.:</t>
  </si>
  <si>
    <t>X_bar</t>
  </si>
  <si>
    <t>X</t>
  </si>
  <si>
    <t>Z</t>
  </si>
  <si>
    <t>Z_bar</t>
  </si>
  <si>
    <t>A*X^2</t>
  </si>
  <si>
    <t>A*Z^2</t>
  </si>
  <si>
    <t>∑A</t>
  </si>
  <si>
    <t>∑Ax</t>
  </si>
  <si>
    <t>∑Az</t>
  </si>
  <si>
    <t>Iz</t>
  </si>
  <si>
    <t>Ix</t>
  </si>
  <si>
    <t>A*X*Z</t>
  </si>
  <si>
    <t>Ixz</t>
  </si>
  <si>
    <t>Stress</t>
  </si>
  <si>
    <t>B1</t>
  </si>
  <si>
    <t>B2</t>
  </si>
  <si>
    <t>P</t>
  </si>
  <si>
    <t>P(y = 0)</t>
  </si>
  <si>
    <t>P(y = 10)</t>
  </si>
  <si>
    <t>∆P</t>
  </si>
  <si>
    <t>∆q</t>
  </si>
  <si>
    <t>Web No.</t>
  </si>
  <si>
    <t>Station 2 (y = 10)</t>
  </si>
  <si>
    <t>Station 1 (y = 0)</t>
  </si>
  <si>
    <t>Kz</t>
  </si>
  <si>
    <t>Kx</t>
  </si>
  <si>
    <t>Shear Calculations</t>
  </si>
  <si>
    <t>A</t>
  </si>
  <si>
    <t>2A</t>
  </si>
  <si>
    <t>qc(lbs/in)</t>
  </si>
  <si>
    <t>Mc=qc*2A</t>
  </si>
  <si>
    <t>∑Mc</t>
  </si>
  <si>
    <t>∑2A</t>
  </si>
  <si>
    <t>Pz*d</t>
  </si>
  <si>
    <t>Pz</t>
  </si>
  <si>
    <t xml:space="preserve">d </t>
  </si>
  <si>
    <t>dz</t>
  </si>
  <si>
    <t>Vz</t>
  </si>
  <si>
    <t>Kxz</t>
  </si>
  <si>
    <t>L</t>
  </si>
  <si>
    <t>t</t>
  </si>
  <si>
    <t>L/t</t>
  </si>
  <si>
    <t>qc*L/t</t>
  </si>
  <si>
    <t>∑</t>
  </si>
  <si>
    <t>coef q1_cor</t>
  </si>
  <si>
    <t>coef q2_cor</t>
  </si>
  <si>
    <t>free term</t>
  </si>
  <si>
    <t>AX = B</t>
  </si>
  <si>
    <t>A^(-1)</t>
  </si>
  <si>
    <t>B</t>
  </si>
  <si>
    <t>X(q_cor)</t>
  </si>
  <si>
    <t>q_tot</t>
  </si>
  <si>
    <t>Fx</t>
  </si>
  <si>
    <t>∑ Fx</t>
  </si>
  <si>
    <t>Fz</t>
  </si>
  <si>
    <t>∑ Fz</t>
  </si>
  <si>
    <t>Px</t>
  </si>
  <si>
    <t>dx</t>
  </si>
  <si>
    <t>Vx</t>
  </si>
  <si>
    <t>Solving system of equations for q_cor</t>
  </si>
  <si>
    <t>a</t>
  </si>
  <si>
    <t>Paxial</t>
  </si>
  <si>
    <t>∑P</t>
  </si>
  <si>
    <t>P2-P1</t>
  </si>
  <si>
    <t>∑Mc_open</t>
  </si>
  <si>
    <t>Origin located at 5</t>
  </si>
  <si>
    <t>x position</t>
  </si>
  <si>
    <t>z position</t>
  </si>
  <si>
    <t>Point 1</t>
  </si>
  <si>
    <t>Point 2</t>
  </si>
  <si>
    <t>Point 3</t>
  </si>
  <si>
    <t>Cell 1</t>
  </si>
  <si>
    <t>Cell 2</t>
  </si>
  <si>
    <t>4-7</t>
  </si>
  <si>
    <t>Mx 1</t>
  </si>
  <si>
    <t>Mz 1</t>
  </si>
  <si>
    <t>Mx 2</t>
  </si>
  <si>
    <t>Mz 2</t>
  </si>
  <si>
    <t>2-1</t>
  </si>
  <si>
    <t>3-2</t>
  </si>
  <si>
    <t>4-3</t>
  </si>
  <si>
    <t>5-4</t>
  </si>
  <si>
    <t>6-5</t>
  </si>
  <si>
    <t>7-6</t>
  </si>
  <si>
    <t>8-7</t>
  </si>
  <si>
    <t>1-8</t>
  </si>
  <si>
    <t>Continuity Equation Coefficients</t>
  </si>
  <si>
    <t>Tourque Balance Equation Coefficients</t>
  </si>
  <si>
    <t>Skin 2-1 and 4-7 are temporarily cut, then shear flow in those web should be zero.</t>
  </si>
  <si>
    <t>Assuming counter-clockwise for the shear flow with 4-7 in the dirction of cell 2</t>
  </si>
  <si>
    <t>Set up a table to determine section Properties and determine stringer load P at each station</t>
  </si>
  <si>
    <r>
      <t>∆</t>
    </r>
    <r>
      <rPr>
        <b/>
        <sz val="8.25"/>
        <color theme="1"/>
        <rFont val="Calibri Light"/>
        <family val="2"/>
        <scheme val="major"/>
      </rPr>
      <t>y</t>
    </r>
  </si>
  <si>
    <t>Cut</t>
  </si>
  <si>
    <t>Web Cut</t>
  </si>
  <si>
    <t>Cell</t>
  </si>
  <si>
    <t>A_boom</t>
  </si>
  <si>
    <t>A_eff</t>
  </si>
  <si>
    <t>E</t>
  </si>
  <si>
    <t>Fcy</t>
  </si>
  <si>
    <t>b1</t>
  </si>
  <si>
    <t>b2</t>
  </si>
  <si>
    <t>w</t>
  </si>
  <si>
    <t>Eff</t>
  </si>
  <si>
    <t>No</t>
  </si>
  <si>
    <t>No. Sides</t>
  </si>
  <si>
    <t>Comp/Ten</t>
  </si>
  <si>
    <t>b3</t>
  </si>
  <si>
    <t>C</t>
  </si>
  <si>
    <t>T</t>
  </si>
  <si>
    <t>c</t>
  </si>
  <si>
    <t>Ref</t>
  </si>
  <si>
    <t>Final</t>
  </si>
  <si>
    <t>Initial</t>
  </si>
  <si>
    <t>Initial-Final</t>
  </si>
  <si>
    <t xml:space="preserve">Moment at </t>
  </si>
  <si>
    <t>Px*c</t>
  </si>
  <si>
    <t>Redundant</t>
  </si>
  <si>
    <t>Moment at Station 1</t>
  </si>
  <si>
    <t>Moment at Station 2</t>
  </si>
  <si>
    <t>Force in z-direction located at d from c.g.</t>
  </si>
  <si>
    <t>Force in x-direction located at c from c.g.</t>
  </si>
  <si>
    <t>بسم الله الرحمن الرحيم</t>
  </si>
  <si>
    <t>Horizontal Web Length</t>
  </si>
  <si>
    <t>Vertical Web Length</t>
  </si>
  <si>
    <t>For redundant stringers, set A_boom and A_eff =0</t>
  </si>
  <si>
    <t>Force in y-direction</t>
  </si>
  <si>
    <t>Ty 1</t>
  </si>
  <si>
    <t>Ty 2</t>
  </si>
  <si>
    <t>T_external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</si>
</sst>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8.25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</font>
    <font>
      <b/>
      <sz val="9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6EFCE"/>
      <color rgb="FFCCFFFF"/>
      <color rgb="FF66FFFF"/>
      <color rgb="FFCCCCFF"/>
      <color rgb="FFCC99FF"/>
      <color rgb="FFCC66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customXml" Target="../ink/ink4.xml"/><Relationship Id="rId18" Type="http://schemas.openxmlformats.org/officeDocument/2006/relationships/customXml" Target="../ink/ink7.xml"/><Relationship Id="rId3" Type="http://schemas.openxmlformats.org/officeDocument/2006/relationships/image" Target="../media/image3.png"/><Relationship Id="rId7" Type="http://schemas.openxmlformats.org/officeDocument/2006/relationships/customXml" Target="../ink/ink1.xml"/><Relationship Id="rId12" Type="http://schemas.openxmlformats.org/officeDocument/2006/relationships/image" Target="../media/image9.png"/><Relationship Id="rId17" Type="http://schemas.openxmlformats.org/officeDocument/2006/relationships/customXml" Target="../ink/ink6.xml"/><Relationship Id="rId2" Type="http://schemas.openxmlformats.org/officeDocument/2006/relationships/image" Target="../media/image2.emf"/><Relationship Id="rId16" Type="http://schemas.openxmlformats.org/officeDocument/2006/relationships/image" Target="../media/image1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customXml" Target="../ink/ink3.xml"/><Relationship Id="rId5" Type="http://schemas.openxmlformats.org/officeDocument/2006/relationships/image" Target="../media/image5.png"/><Relationship Id="rId15" Type="http://schemas.openxmlformats.org/officeDocument/2006/relationships/customXml" Target="../ink/ink5.xml"/><Relationship Id="rId10" Type="http://schemas.openxmlformats.org/officeDocument/2006/relationships/image" Target="../media/image8.png"/><Relationship Id="rId4" Type="http://schemas.openxmlformats.org/officeDocument/2006/relationships/image" Target="../media/image4.png"/><Relationship Id="rId9" Type="http://schemas.openxmlformats.org/officeDocument/2006/relationships/customXml" Target="../ink/ink2.xml"/><Relationship Id="rId1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23092</xdr:colOff>
      <xdr:row>22</xdr:row>
      <xdr:rowOff>99290</xdr:rowOff>
    </xdr:from>
    <xdr:to>
      <xdr:col>25</xdr:col>
      <xdr:colOff>323273</xdr:colOff>
      <xdr:row>37</xdr:row>
      <xdr:rowOff>87971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1E6045-E280-E77B-1752-EAE1EEC6E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7772" y="3985490"/>
          <a:ext cx="3150061" cy="2777601"/>
        </a:xfrm>
        <a:prstGeom prst="rect">
          <a:avLst/>
        </a:prstGeom>
      </xdr:spPr>
    </xdr:pic>
    <xdr:clientData/>
  </xdr:twoCellAnchor>
  <xdr:twoCellAnchor editAs="oneCell">
    <xdr:from>
      <xdr:col>11</xdr:col>
      <xdr:colOff>53340</xdr:colOff>
      <xdr:row>22</xdr:row>
      <xdr:rowOff>44370</xdr:rowOff>
    </xdr:from>
    <xdr:to>
      <xdr:col>14</xdr:col>
      <xdr:colOff>361212</xdr:colOff>
      <xdr:row>26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88DA2C-2CD4-A332-0ECE-279EC20BA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6900" y="4113450"/>
          <a:ext cx="2228112" cy="831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106680</xdr:colOff>
      <xdr:row>89</xdr:row>
      <xdr:rowOff>137160</xdr:rowOff>
    </xdr:from>
    <xdr:to>
      <xdr:col>8</xdr:col>
      <xdr:colOff>782023</xdr:colOff>
      <xdr:row>111</xdr:row>
      <xdr:rowOff>45228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EEE399-DF59-D9E6-F260-75E491876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" y="16550640"/>
          <a:ext cx="7419043" cy="3931428"/>
        </a:xfrm>
        <a:prstGeom prst="rect">
          <a:avLst/>
        </a:prstGeom>
      </xdr:spPr>
    </xdr:pic>
    <xdr:clientData/>
  </xdr:twoCellAnchor>
  <xdr:twoCellAnchor editAs="oneCell">
    <xdr:from>
      <xdr:col>28</xdr:col>
      <xdr:colOff>25190</xdr:colOff>
      <xdr:row>64</xdr:row>
      <xdr:rowOff>19050</xdr:rowOff>
    </xdr:from>
    <xdr:to>
      <xdr:col>33</xdr:col>
      <xdr:colOff>511507</xdr:colOff>
      <xdr:row>77</xdr:row>
      <xdr:rowOff>169333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ED1D75C-C679-5C48-4434-A719BC0DD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41450" y="11860530"/>
          <a:ext cx="4502057" cy="25277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28786</xdr:colOff>
      <xdr:row>59</xdr:row>
      <xdr:rowOff>98890</xdr:rowOff>
    </xdr:from>
    <xdr:to>
      <xdr:col>16</xdr:col>
      <xdr:colOff>892387</xdr:colOff>
      <xdr:row>63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D60873-83A3-00FA-3C30-4AE6D3AF4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0786" y="11025970"/>
          <a:ext cx="1785621" cy="678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26</xdr:col>
      <xdr:colOff>375138</xdr:colOff>
      <xdr:row>20</xdr:row>
      <xdr:rowOff>166222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1B16841-E66F-3922-B344-9BE31818B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334892" y="562708"/>
          <a:ext cx="4103077" cy="3401791"/>
        </a:xfrm>
        <a:prstGeom prst="rect">
          <a:avLst/>
        </a:prstGeom>
      </xdr:spPr>
    </xdr:pic>
    <xdr:clientData/>
  </xdr:twoCellAnchor>
  <xdr:twoCellAnchor editAs="oneCell">
    <xdr:from>
      <xdr:col>24</xdr:col>
      <xdr:colOff>609859</xdr:colOff>
      <xdr:row>7</xdr:row>
      <xdr:rowOff>88388</xdr:rowOff>
    </xdr:from>
    <xdr:to>
      <xdr:col>25</xdr:col>
      <xdr:colOff>20327</xdr:colOff>
      <xdr:row>8</xdr:row>
      <xdr:rowOff>118096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5632BBA0-4F3F-F772-DF55-824B23826347}"/>
                </a:ext>
              </a:extLst>
            </xdr14:cNvPr>
            <xdr14:cNvContentPartPr/>
          </xdr14:nvContentPartPr>
          <xdr14:nvPr macro=""/>
          <xdr14:xfrm>
            <a:off x="21109878" y="1357155"/>
            <a:ext cx="50400" cy="2109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5632BBA0-4F3F-F772-DF55-824B2382634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1105558" y="1352835"/>
              <a:ext cx="59040" cy="21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22127</xdr:colOff>
      <xdr:row>8</xdr:row>
      <xdr:rowOff>99736</xdr:rowOff>
    </xdr:from>
    <xdr:to>
      <xdr:col>25</xdr:col>
      <xdr:colOff>84767</xdr:colOff>
      <xdr:row>8</xdr:row>
      <xdr:rowOff>167056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7E7F2DF7-3384-BDAB-F3AB-BC2C4F521C5F}"/>
                </a:ext>
              </a:extLst>
            </xdr14:cNvPr>
            <xdr14:cNvContentPartPr/>
          </xdr14:nvContentPartPr>
          <xdr14:nvPr macro=""/>
          <xdr14:xfrm>
            <a:off x="21162078" y="1549755"/>
            <a:ext cx="62640" cy="6732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7E7F2DF7-3384-BDAB-F3AB-BC2C4F521C5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1157758" y="1545435"/>
              <a:ext cx="71280" cy="7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424967</xdr:colOff>
      <xdr:row>4</xdr:row>
      <xdr:rowOff>144030</xdr:rowOff>
    </xdr:from>
    <xdr:to>
      <xdr:col>25</xdr:col>
      <xdr:colOff>477167</xdr:colOff>
      <xdr:row>5</xdr:row>
      <xdr:rowOff>133778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E3987CD0-CC32-482B-7BDA-E0CE521C670B}"/>
                </a:ext>
              </a:extLst>
            </xdr14:cNvPr>
            <xdr14:cNvContentPartPr/>
          </xdr14:nvContentPartPr>
          <xdr14:nvPr macro=""/>
          <xdr14:xfrm>
            <a:off x="21564918" y="869040"/>
            <a:ext cx="52200" cy="1710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E3987CD0-CC32-482B-7BDA-E0CE521C670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1560598" y="864720"/>
              <a:ext cx="60840" cy="17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454487</xdr:colOff>
      <xdr:row>5</xdr:row>
      <xdr:rowOff>135938</xdr:rowOff>
    </xdr:from>
    <xdr:to>
      <xdr:col>25</xdr:col>
      <xdr:colOff>485447</xdr:colOff>
      <xdr:row>6</xdr:row>
      <xdr:rowOff>59085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25BB5FEB-A2AC-5693-0FA7-016F424BD32E}"/>
                </a:ext>
              </a:extLst>
            </xdr14:cNvPr>
            <xdr14:cNvContentPartPr/>
          </xdr14:nvContentPartPr>
          <xdr14:nvPr macro=""/>
          <xdr14:xfrm>
            <a:off x="21594438" y="1042200"/>
            <a:ext cx="30960" cy="10440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25BB5FEB-A2AC-5693-0FA7-016F424BD32E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1590118" y="1037880"/>
              <a:ext cx="39600" cy="11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353777</xdr:colOff>
      <xdr:row>73</xdr:row>
      <xdr:rowOff>126550</xdr:rowOff>
    </xdr:from>
    <xdr:to>
      <xdr:col>7</xdr:col>
      <xdr:colOff>354137</xdr:colOff>
      <xdr:row>73</xdr:row>
      <xdr:rowOff>126910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C81FC173-AA25-3542-57FD-C1A8360A85D7}"/>
                </a:ext>
              </a:extLst>
            </xdr14:cNvPr>
            <xdr14:cNvContentPartPr/>
          </xdr14:nvContentPartPr>
          <xdr14:nvPr macro=""/>
          <xdr14:xfrm>
            <a:off x="6296040" y="13441497"/>
            <a:ext cx="360" cy="36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C81FC173-AA25-3542-57FD-C1A8360A85D7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291720" y="13437177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267017</xdr:colOff>
      <xdr:row>74</xdr:row>
      <xdr:rowOff>99796</xdr:rowOff>
    </xdr:from>
    <xdr:to>
      <xdr:col>7</xdr:col>
      <xdr:colOff>267377</xdr:colOff>
      <xdr:row>74</xdr:row>
      <xdr:rowOff>100156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23049BE0-860C-3A73-6E0C-72CDC32F0BE4}"/>
                </a:ext>
              </a:extLst>
            </xdr14:cNvPr>
            <xdr14:cNvContentPartPr/>
          </xdr14:nvContentPartPr>
          <xdr14:nvPr macro=""/>
          <xdr14:xfrm>
            <a:off x="6209280" y="13595217"/>
            <a:ext cx="360" cy="36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23049BE0-860C-3A73-6E0C-72CDC32F0BE4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204960" y="13590897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267017</xdr:colOff>
      <xdr:row>70</xdr:row>
      <xdr:rowOff>13131</xdr:rowOff>
    </xdr:from>
    <xdr:to>
      <xdr:col>7</xdr:col>
      <xdr:colOff>267377</xdr:colOff>
      <xdr:row>70</xdr:row>
      <xdr:rowOff>13491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328B656E-67FC-2ED5-4D9A-D76D81EDC18B}"/>
                </a:ext>
              </a:extLst>
            </xdr14:cNvPr>
            <xdr14:cNvContentPartPr/>
          </xdr14:nvContentPartPr>
          <xdr14:nvPr macro=""/>
          <xdr14:xfrm>
            <a:off x="6209280" y="12786657"/>
            <a:ext cx="360" cy="36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328B656E-67FC-2ED5-4D9A-D76D81EDC18B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204960" y="12782337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16T10:49:43.53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79 1 24575,'-4'4'0,"-1"0"0,2 0 0,-1 1 0,0-1 0,0 1 0,1 0 0,0 1 0,1-1 0,-1 0 0,1 1 0,-1-1 0,1 1 0,0 0 0,1 0 0,-2 10 0,0 37 0,4 90 0,0-52 0,0-88 0,-1 0 0,1 0 0,0 0 0,0 0 0,0 0 0,1 0 0,-1 0 0,1 0 0,0 0 0,0-1 0,0 1 0,0 0 0,-1-1 0,1 0 0,1 0 0,4 4 0,16 21 0,-22-26 0,0 1 0,0-1 0,-1 1 0,0-1 0,1 1 0,-1-1 0,0 1 0,1 0 0,-1-1 0,0 1 0,1 0 0,-1-1 0,0 1 0,0 0 0,-1-1 0,1 1 0,0 0 0,-1 1 0,0-2 0,1 0 0,0 0 0,0 0 0,-1 0 0,1 0 0,-1 0 0,0-1 0,1 1 0,-1 0 0,0 0 0,0-1 0,0 1 0,1 0 0,-1-1 0,0 1 0,0-1 0,0 1 0,0-1 0,0 1 0,0-1 0,0 0 0,0 1 0,0-1 0,0 0 0,0 0 0,0 0 0,0 0 0,0 0 0,0 0 0,0 0 0,0 0 0,0 0 0,-2-1 0,-40-14 0,29 10 0,106 101 0,-92-96 0,0 1 0,0-1 0,1 0 0,-1 0 0,0 0 0,0 1 0,1-1 0,-1 0 0,0 0 0,1 0 0,-1 0 0,0 1 0,1-1 0,-1 0 0,0 0 0,0 0 0,1 0 0,-1 0 0,0 0 0,1 0 0,-1 0 0,0 0 0,1 0 0,-1 0 0,0 0 0,1 0 0,-1 0 0,0 0 0,1-1 0,-1 1 0,0 0 0,1 0 0,-1 0 0,0 0 0,0 0 0,1-1 0,-1 1 0,1-1 0,3-15 0,-4-29 0,-1 38 0,2 0 0,-1 1 0,1 0 0,0 0 0,1 0 0,-1 0 0,4-9 0,5-24 0,-9 30-1365,2 3-5461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16T10:49:47.87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52 24575,'1'-3'0,"-1"1"0,1 0 0,0-1 0,0 1 0,1 0 0,-1 0 0,0-1 0,1 1 0,-1 0 0,1 1 0,0-1 0,-1 0 0,1 0 0,0 1 0,0-1 0,0 1 0,0-1 0,1 1 0,-1 0 0,0 0 0,0 0 0,3-1 0,-1 1 0,0-1 0,0 1 0,-1-1 0,1 1 0,0 0 0,0 0 0,0 1 0,0-1 0,0 1 0,0 0 0,1 0 0,-1 0 0,5 2 0,-8-1 0,0-1 0,0 1 0,0 0 0,0 0 0,0 0 0,0 0 0,0 0 0,0 1 0,0-1 0,0 0 0,-1 0 0,1 1 0,0-1 0,-1 0 0,1 1 0,-1-1 0,0 0 0,1 1 0,-1-1 0,0 1 0,0-1 0,0 1 0,0 0 0,-1 43 0,-1-29 0,3-13 0,-1 0 0,0 1 0,0-1 0,-1 0 0,1 0 0,-1 0 0,0 1 0,1-1 0,-1 0 0,-1 0 0,1 0 0,0 0 0,-1-1 0,1 1 0,-1 0 0,0 0 0,0-1 0,0 1 0,0-1 0,-1 0 0,1 0 0,-1 0 0,1 0 0,-1 0 0,0 0 0,1-1 0,-1 1 0,0-1 0,0 0 0,0 0 0,0 0 0,0 0 0,-5 0 0,-21 7 0,29-8 0,0 1 0,0-1 0,0 0 0,0 0 0,0 0 0,0 0 0,0 0 0,0 0 0,0 0 0,1 0 0,-1 0 0,0 0 0,0 0 0,0 0 0,0 0 0,0 0 0,0 0 0,0 0 0,0 0 0,0 0 0,0 0 0,0 1 0,0-1 0,0 0 0,0 0 0,0 0 0,0 0 0,0 0 0,0 0 0,0 0 0,0 0 0,0 0 0,0 0 0,0 0 0,0 0 0,0 0 0,0 1 0,0-1 0,0 0 0,0 0 0,0 0 0,0 0 0,0 0 0,0 0 0,0 0 0,0 0 0,0 0 0,-1 0 0,1 0 0,0 0 0,0 0 0,0 0 0,0 0 0,0 0 0,0 0 0,0 0 0,0 0 0,0 0 0,0 0 0,18 2 0,109-13-1365,-119 11-5461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16T10:49:59.28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83 0 24575,'-10'154'0,"9"39"0,2-100 0,5-68 0,-3-25 0,-6-12 0,-2 4 0,-1 1 0,1 0 0,-1 0 0,0 1 0,-1 0 0,0 0 0,0 0 0,0 1 0,-15-7 0,27 16 0,0 0 0,-1-1 0,0 2 0,0 0 0,0 0 0,0 0 0,-1 1 0,1-1 0,-1 1 0,-1 0 0,1 0 0,-1 0 0,0 0 0,2 9 0,-3-14 0,2-5 0,5-14 0,11-21 0,-16 37-22,0 0 0,-1 1-1,1-1 1,0 0 0,0 1 0,0-1-1,0 1 1,0 0 0,1 0 0,-1 1-1,0-1 1,4 0 0,3 0-1054,-3-1-5750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16T10:50:02.63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73 24575,'19'1'0,"-14"-1"0,0 1 0,0-1 0,0-1 0,0 1 0,1-1 0,8-2 0,-12 3 0,-1-1 0,0 0 0,0 1 0,1-1 0,-1 0 0,0 0 0,0 0 0,0 0 0,0 0 0,0 0 0,0 0 0,0-1 0,0 1 0,0 0 0,-1 0 0,1-1 0,-1 1 0,1-1 0,-1 1 0,1 0 0,-1 0 0,1 0 0,-1-1 0,0 1 0,0-1 0,0 1 0,0-1 0,0-1 0,0-14 0,-1-1 0,-1 37 0,1-15 0,1 0 0,-1 0 0,-1 0 0,1 0 0,0 0 0,-1-1 0,0 0 0,-3 6 0,2-6 0,1 1 0,0-1 0,1 1 0,-1-1 0,1 1 0,-1-1 0,1 1 0,0 0 0,1 0 0,-2 6 0,3 163-1365,-1-164-5461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16T12:02:33.33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24575,'0'0'-8191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16T12:02:34.28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24575,'0'0'-8191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16T12:02:38.25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0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0"/>
  <sheetViews>
    <sheetView tabSelected="1" zoomScale="85" zoomScaleNormal="85" workbookViewId="0">
      <selection activeCell="Y75" sqref="Y75"/>
    </sheetView>
  </sheetViews>
  <sheetFormatPr defaultRowHeight="14.4" x14ac:dyDescent="0.3"/>
  <cols>
    <col min="1" max="1" width="14.21875" style="2" customWidth="1"/>
    <col min="2" max="2" width="13" style="2" bestFit="1" customWidth="1"/>
    <col min="3" max="3" width="11.33203125" style="2" bestFit="1" customWidth="1"/>
    <col min="4" max="4" width="15.44140625" style="2" bestFit="1" customWidth="1"/>
    <col min="5" max="5" width="11.21875" style="2" bestFit="1" customWidth="1"/>
    <col min="6" max="6" width="11.44140625" style="2" bestFit="1" customWidth="1"/>
    <col min="7" max="7" width="10.109375" style="2" customWidth="1"/>
    <col min="8" max="8" width="11.5546875" style="2" bestFit="1" customWidth="1"/>
    <col min="9" max="9" width="12.77734375" style="2" bestFit="1" customWidth="1"/>
    <col min="10" max="10" width="13" style="2" customWidth="1"/>
    <col min="11" max="11" width="13.44140625" style="2" customWidth="1"/>
    <col min="12" max="14" width="9.33203125" style="2" bestFit="1" customWidth="1"/>
    <col min="15" max="15" width="12.21875" style="2" bestFit="1" customWidth="1"/>
    <col min="16" max="16" width="13.44140625" style="2" bestFit="1" customWidth="1"/>
    <col min="17" max="17" width="13.77734375" style="2" bestFit="1" customWidth="1"/>
    <col min="18" max="18" width="11.109375" style="2" bestFit="1" customWidth="1"/>
    <col min="19" max="19" width="9.33203125" style="2" bestFit="1" customWidth="1"/>
    <col min="20" max="20" width="12.77734375" style="2" bestFit="1" customWidth="1"/>
    <col min="21" max="21" width="13.6640625" style="2" bestFit="1" customWidth="1"/>
    <col min="22" max="22" width="15.44140625" style="2" bestFit="1" customWidth="1"/>
    <col min="23" max="23" width="15.88671875" style="2" bestFit="1" customWidth="1"/>
    <col min="24" max="24" width="16.21875" style="2" bestFit="1" customWidth="1"/>
    <col min="25" max="25" width="9.33203125" style="2" bestFit="1" customWidth="1"/>
    <col min="26" max="26" width="12.77734375" style="2" bestFit="1" customWidth="1"/>
    <col min="27" max="27" width="9.33203125" style="2" bestFit="1" customWidth="1"/>
    <col min="28" max="28" width="11" style="2" bestFit="1" customWidth="1"/>
    <col min="29" max="29" width="12.77734375" style="2" bestFit="1" customWidth="1"/>
    <col min="30" max="30" width="13.33203125" style="2" bestFit="1" customWidth="1"/>
    <col min="31" max="31" width="11.44140625" style="2" bestFit="1" customWidth="1"/>
    <col min="32" max="32" width="12.109375" style="2" bestFit="1" customWidth="1"/>
    <col min="33" max="16384" width="8.88671875" style="2"/>
  </cols>
  <sheetData>
    <row r="1" spans="1:22" x14ac:dyDescent="0.3">
      <c r="A1" s="16" t="s">
        <v>130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x14ac:dyDescent="0.3">
      <c r="A2" s="1" t="s">
        <v>125</v>
      </c>
      <c r="D2" s="4" t="s">
        <v>126</v>
      </c>
      <c r="G2" s="4" t="s">
        <v>127</v>
      </c>
      <c r="I2" s="5"/>
      <c r="J2" s="4" t="s">
        <v>128</v>
      </c>
      <c r="P2" s="4" t="s">
        <v>129</v>
      </c>
      <c r="S2" s="4" t="s">
        <v>134</v>
      </c>
    </row>
    <row r="3" spans="1:22" x14ac:dyDescent="0.3">
      <c r="A3" s="1" t="s">
        <v>0</v>
      </c>
      <c r="B3" s="12">
        <v>0.8</v>
      </c>
      <c r="D3" s="1" t="s">
        <v>83</v>
      </c>
      <c r="E3" s="12">
        <v>100000</v>
      </c>
      <c r="G3" s="1" t="s">
        <v>85</v>
      </c>
      <c r="H3" s="12">
        <f>E3+K3*T4</f>
        <v>200000</v>
      </c>
      <c r="J3" s="1" t="s">
        <v>43</v>
      </c>
      <c r="K3" s="12">
        <v>10000</v>
      </c>
      <c r="M3" s="1" t="s">
        <v>48</v>
      </c>
      <c r="N3" s="12">
        <v>10</v>
      </c>
      <c r="P3" s="1" t="s">
        <v>65</v>
      </c>
      <c r="Q3" s="12">
        <v>0</v>
      </c>
      <c r="S3" s="3" t="s">
        <v>70</v>
      </c>
      <c r="T3" s="13">
        <v>0</v>
      </c>
    </row>
    <row r="4" spans="1:22" x14ac:dyDescent="0.3">
      <c r="A4" s="1" t="s">
        <v>1</v>
      </c>
      <c r="B4" s="12">
        <v>0.8</v>
      </c>
      <c r="D4" s="1" t="s">
        <v>84</v>
      </c>
      <c r="E4" s="12">
        <v>0</v>
      </c>
      <c r="G4" s="1" t="s">
        <v>86</v>
      </c>
      <c r="H4" s="12">
        <v>0</v>
      </c>
      <c r="J4" s="1" t="s">
        <v>44</v>
      </c>
      <c r="K4" s="12">
        <f>G19</f>
        <v>-5.0000000000000018</v>
      </c>
      <c r="M4" s="1" t="s">
        <v>49</v>
      </c>
      <c r="N4" s="12">
        <v>0.01</v>
      </c>
      <c r="P4" s="1" t="s">
        <v>118</v>
      </c>
      <c r="Q4" s="12">
        <v>0</v>
      </c>
      <c r="S4" s="3" t="s">
        <v>100</v>
      </c>
      <c r="T4" s="13">
        <v>10</v>
      </c>
    </row>
    <row r="5" spans="1:22" x14ac:dyDescent="0.3">
      <c r="A5" s="1"/>
      <c r="D5" s="1" t="s">
        <v>135</v>
      </c>
      <c r="E5" s="12">
        <v>0</v>
      </c>
      <c r="G5" s="1" t="s">
        <v>136</v>
      </c>
      <c r="H5" s="12">
        <v>0</v>
      </c>
      <c r="J5" s="1"/>
      <c r="M5" s="1"/>
      <c r="P5" s="1"/>
      <c r="S5" s="3"/>
      <c r="T5" s="15"/>
    </row>
    <row r="6" spans="1:22" x14ac:dyDescent="0.3">
      <c r="E6" s="16" t="s">
        <v>132</v>
      </c>
      <c r="F6" s="16"/>
      <c r="G6" s="16" t="s">
        <v>131</v>
      </c>
      <c r="H6" s="16"/>
      <c r="I6" s="16"/>
      <c r="J6" s="16"/>
      <c r="K6" s="16"/>
      <c r="L6" s="16"/>
    </row>
    <row r="7" spans="1:22" x14ac:dyDescent="0.3">
      <c r="A7" s="1" t="s">
        <v>106</v>
      </c>
      <c r="B7" s="12">
        <v>10700000</v>
      </c>
      <c r="C7" s="1" t="s">
        <v>107</v>
      </c>
      <c r="D7" s="12">
        <v>40000</v>
      </c>
      <c r="E7" s="1" t="s">
        <v>69</v>
      </c>
      <c r="F7" s="12">
        <v>10</v>
      </c>
      <c r="G7" s="1" t="s">
        <v>108</v>
      </c>
      <c r="H7" s="12">
        <v>10</v>
      </c>
      <c r="I7" s="1" t="s">
        <v>109</v>
      </c>
      <c r="J7" s="12">
        <v>10</v>
      </c>
      <c r="K7" s="1" t="s">
        <v>115</v>
      </c>
      <c r="L7" s="12">
        <v>10</v>
      </c>
    </row>
    <row r="8" spans="1:22" x14ac:dyDescent="0.3">
      <c r="A8" s="1" t="s">
        <v>110</v>
      </c>
      <c r="B8" s="2">
        <f>1.9*N4*SQRT(B7/D7)</f>
        <v>0.31075311744212636</v>
      </c>
      <c r="C8" s="1" t="s">
        <v>111</v>
      </c>
      <c r="D8" s="1" t="s">
        <v>112</v>
      </c>
      <c r="G8" s="1"/>
      <c r="J8" s="1"/>
    </row>
    <row r="9" spans="1:22" x14ac:dyDescent="0.3">
      <c r="A9" s="4" t="s">
        <v>99</v>
      </c>
      <c r="D9" s="1"/>
    </row>
    <row r="10" spans="1:22" ht="18" x14ac:dyDescent="0.3">
      <c r="A10" s="11" t="s">
        <v>32</v>
      </c>
      <c r="B10" s="10"/>
      <c r="D10" s="1"/>
    </row>
    <row r="11" spans="1:22" x14ac:dyDescent="0.3">
      <c r="C11" s="1" t="s">
        <v>74</v>
      </c>
      <c r="D11" s="1"/>
      <c r="O11" s="5" t="s">
        <v>133</v>
      </c>
    </row>
    <row r="12" spans="1:22" x14ac:dyDescent="0.3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1" t="s">
        <v>10</v>
      </c>
      <c r="H12" s="1" t="s">
        <v>11</v>
      </c>
      <c r="I12" s="1" t="s">
        <v>13</v>
      </c>
      <c r="J12" s="1" t="s">
        <v>14</v>
      </c>
      <c r="K12" s="1" t="s">
        <v>20</v>
      </c>
      <c r="L12" s="1" t="s">
        <v>22</v>
      </c>
      <c r="M12" s="1" t="s">
        <v>25</v>
      </c>
      <c r="N12" s="1" t="s">
        <v>70</v>
      </c>
      <c r="O12" s="1" t="s">
        <v>104</v>
      </c>
      <c r="P12" s="1" t="s">
        <v>114</v>
      </c>
      <c r="Q12" s="1" t="s">
        <v>113</v>
      </c>
      <c r="R12" s="1" t="s">
        <v>105</v>
      </c>
      <c r="S12" s="1" t="s">
        <v>69</v>
      </c>
      <c r="T12" s="1" t="s">
        <v>108</v>
      </c>
      <c r="U12" s="1" t="s">
        <v>109</v>
      </c>
      <c r="V12" s="1" t="s">
        <v>115</v>
      </c>
    </row>
    <row r="13" spans="1:22" x14ac:dyDescent="0.3">
      <c r="A13" s="2">
        <v>1</v>
      </c>
      <c r="B13" s="2">
        <f t="shared" ref="B13:B20" si="0">IF($D$8=UPPER("No"),O13,O13+R13)</f>
        <v>0.8</v>
      </c>
      <c r="C13" s="12">
        <f>3*10</f>
        <v>30</v>
      </c>
      <c r="D13" s="12">
        <v>10</v>
      </c>
      <c r="E13" s="2">
        <f>B13*C13</f>
        <v>24</v>
      </c>
      <c r="F13" s="2">
        <f>B13*D13</f>
        <v>8</v>
      </c>
      <c r="G13" s="2">
        <f>C13-$B$24</f>
        <v>14.999999999999998</v>
      </c>
      <c r="H13" s="2">
        <f>D13-$B$25</f>
        <v>5</v>
      </c>
      <c r="I13" s="2">
        <f t="shared" ref="I13:I20" si="1">B13*G13^2</f>
        <v>179.99999999999997</v>
      </c>
      <c r="J13" s="2">
        <f t="shared" ref="J13:J20" si="2">B13*H13^2</f>
        <v>20</v>
      </c>
      <c r="K13" s="2">
        <f>B13*G13*H13</f>
        <v>60</v>
      </c>
      <c r="L13" s="2">
        <f>IF(B13=0,0,-($I$26*G13+$J$26*H13)+N13/B13)</f>
        <v>-3125</v>
      </c>
      <c r="M13" s="2">
        <f>L13*B13</f>
        <v>-2500</v>
      </c>
      <c r="N13" s="2">
        <f t="shared" ref="N13:N20" si="3">$T$3</f>
        <v>0</v>
      </c>
      <c r="O13" s="12">
        <f>$B$3</f>
        <v>0.8</v>
      </c>
      <c r="P13" s="12" t="s">
        <v>116</v>
      </c>
      <c r="Q13" s="12">
        <v>2</v>
      </c>
      <c r="R13" s="2">
        <f t="shared" ref="R13:R20" si="4">IF(P13=UPPER("C"),Q13*$B$8/2*$N$4,IF(P13=UPPER("T"),(T13*$H$7/2+U13*$J$7/2+V13*$L$7/2+S13*$F$7/6)*$N$4,"Error"))</f>
        <v>3.1075311744212636E-3</v>
      </c>
      <c r="S13" s="12">
        <f>IF(OR($P13="T",$P13="CT"),"Input",0)</f>
        <v>0</v>
      </c>
      <c r="T13" s="12">
        <f t="shared" ref="T13:V20" si="5">IF(OR($P13="T",$P13="CT"),"Input",0)</f>
        <v>0</v>
      </c>
      <c r="U13" s="12">
        <f t="shared" si="5"/>
        <v>0</v>
      </c>
      <c r="V13" s="12">
        <f t="shared" si="5"/>
        <v>0</v>
      </c>
    </row>
    <row r="14" spans="1:22" x14ac:dyDescent="0.3">
      <c r="A14" s="2">
        <v>2</v>
      </c>
      <c r="B14" s="2">
        <f t="shared" si="0"/>
        <v>0.8</v>
      </c>
      <c r="C14" s="12">
        <f>3*10</f>
        <v>30</v>
      </c>
      <c r="D14" s="12">
        <v>0</v>
      </c>
      <c r="E14" s="2">
        <f t="shared" ref="E14:E20" si="6">B14*C14</f>
        <v>24</v>
      </c>
      <c r="F14" s="2">
        <f t="shared" ref="F14:F20" si="7">B14*D14</f>
        <v>0</v>
      </c>
      <c r="G14" s="2">
        <f>C14-$B$24</f>
        <v>14.999999999999998</v>
      </c>
      <c r="H14" s="2">
        <f>D14-$B$25</f>
        <v>-5</v>
      </c>
      <c r="I14" s="2">
        <f t="shared" si="1"/>
        <v>179.99999999999997</v>
      </c>
      <c r="J14" s="2">
        <f t="shared" si="2"/>
        <v>20</v>
      </c>
      <c r="K14" s="2">
        <f t="shared" ref="K14:K20" si="8">B14*G14*H14</f>
        <v>-60</v>
      </c>
      <c r="L14" s="2">
        <f>IF(B14=0,0,-($I$26*G14+$J$26*H14)+N14/B14)</f>
        <v>3125</v>
      </c>
      <c r="M14" s="2">
        <f t="shared" ref="M14:M20" si="9">L14*B14</f>
        <v>2500</v>
      </c>
      <c r="N14" s="2">
        <f t="shared" si="3"/>
        <v>0</v>
      </c>
      <c r="O14" s="12">
        <f t="shared" ref="O14:O20" si="10">$B$3</f>
        <v>0.8</v>
      </c>
      <c r="P14" s="12" t="s">
        <v>117</v>
      </c>
      <c r="Q14" s="12">
        <f t="shared" ref="Q14:Q17" si="11">IF(OR($P14="C",$P14="CT"),"Input",0)</f>
        <v>0</v>
      </c>
      <c r="R14" s="2">
        <f t="shared" si="4"/>
        <v>6.6666666666666666E-2</v>
      </c>
      <c r="S14" s="12">
        <v>1</v>
      </c>
      <c r="T14" s="12">
        <v>0</v>
      </c>
      <c r="U14" s="12">
        <v>0</v>
      </c>
      <c r="V14" s="12">
        <v>1</v>
      </c>
    </row>
    <row r="15" spans="1:22" x14ac:dyDescent="0.3">
      <c r="A15" s="2">
        <v>3</v>
      </c>
      <c r="B15" s="2">
        <f t="shared" si="0"/>
        <v>0.8</v>
      </c>
      <c r="C15" s="12">
        <f>2*10</f>
        <v>20</v>
      </c>
      <c r="D15" s="12">
        <v>0</v>
      </c>
      <c r="E15" s="2">
        <f t="shared" si="6"/>
        <v>16</v>
      </c>
      <c r="F15" s="2">
        <f t="shared" si="7"/>
        <v>0</v>
      </c>
      <c r="G15" s="2">
        <f>C15-$B$24</f>
        <v>4.9999999999999982</v>
      </c>
      <c r="H15" s="2">
        <f>D15-$B$25</f>
        <v>-5</v>
      </c>
      <c r="I15" s="2">
        <f t="shared" si="1"/>
        <v>19.999999999999986</v>
      </c>
      <c r="J15" s="2">
        <f t="shared" si="2"/>
        <v>20</v>
      </c>
      <c r="K15" s="2">
        <f t="shared" si="8"/>
        <v>-19.999999999999993</v>
      </c>
      <c r="L15" s="2">
        <f>IF(B15=0,0,-($I$26*G15+$J$26*H15)+N15/B15)</f>
        <v>3125</v>
      </c>
      <c r="M15" s="2">
        <f t="shared" si="9"/>
        <v>2500</v>
      </c>
      <c r="N15" s="2">
        <f t="shared" si="3"/>
        <v>0</v>
      </c>
      <c r="O15" s="12">
        <f t="shared" si="10"/>
        <v>0.8</v>
      </c>
      <c r="P15" s="12" t="s">
        <v>117</v>
      </c>
      <c r="Q15" s="12">
        <f>IF(OR($P15="C",$P15="CT"),"Input",0)</f>
        <v>0</v>
      </c>
      <c r="R15" s="2">
        <f t="shared" si="4"/>
        <v>0.1</v>
      </c>
      <c r="S15" s="12">
        <v>0</v>
      </c>
      <c r="T15" s="12">
        <v>0</v>
      </c>
      <c r="U15" s="12">
        <v>1</v>
      </c>
      <c r="V15" s="12">
        <v>1</v>
      </c>
    </row>
    <row r="16" spans="1:22" x14ac:dyDescent="0.3">
      <c r="A16" s="2">
        <v>4</v>
      </c>
      <c r="B16" s="2">
        <f t="shared" si="0"/>
        <v>0.8</v>
      </c>
      <c r="C16" s="12">
        <f>10</f>
        <v>10</v>
      </c>
      <c r="D16" s="12">
        <v>0</v>
      </c>
      <c r="E16" s="2">
        <f t="shared" si="6"/>
        <v>8</v>
      </c>
      <c r="F16" s="2">
        <f t="shared" si="7"/>
        <v>0</v>
      </c>
      <c r="G16" s="2">
        <f>C16-$B$24</f>
        <v>-5.0000000000000018</v>
      </c>
      <c r="H16" s="2">
        <f>D16-$B$25</f>
        <v>-5</v>
      </c>
      <c r="I16" s="2">
        <f t="shared" si="1"/>
        <v>20.000000000000014</v>
      </c>
      <c r="J16" s="2">
        <f t="shared" si="2"/>
        <v>20</v>
      </c>
      <c r="K16" s="2">
        <f t="shared" si="8"/>
        <v>20.000000000000007</v>
      </c>
      <c r="L16" s="2">
        <f>IF(B16=0,0,-($I$26*G16+$J$26*H16)+N16/B16)</f>
        <v>3125</v>
      </c>
      <c r="M16" s="2">
        <f t="shared" si="9"/>
        <v>2500</v>
      </c>
      <c r="N16" s="2">
        <f t="shared" si="3"/>
        <v>0</v>
      </c>
      <c r="O16" s="12">
        <f t="shared" si="10"/>
        <v>0.8</v>
      </c>
      <c r="P16" s="12" t="s">
        <v>117</v>
      </c>
      <c r="Q16" s="12">
        <f t="shared" si="11"/>
        <v>0</v>
      </c>
      <c r="R16" s="2">
        <f t="shared" si="4"/>
        <v>0.11666666666666667</v>
      </c>
      <c r="S16" s="12">
        <v>1</v>
      </c>
      <c r="T16" s="12">
        <v>1</v>
      </c>
      <c r="U16" s="12">
        <v>1</v>
      </c>
      <c r="V16" s="12">
        <v>0</v>
      </c>
    </row>
    <row r="17" spans="1:22" x14ac:dyDescent="0.3">
      <c r="A17" s="2">
        <v>5</v>
      </c>
      <c r="B17" s="2">
        <f t="shared" si="0"/>
        <v>0.8</v>
      </c>
      <c r="C17" s="12">
        <v>0</v>
      </c>
      <c r="D17" s="12">
        <v>0</v>
      </c>
      <c r="E17" s="2">
        <f t="shared" si="6"/>
        <v>0</v>
      </c>
      <c r="F17" s="2">
        <f t="shared" si="7"/>
        <v>0</v>
      </c>
      <c r="G17" s="2">
        <f>C17-$B$24</f>
        <v>-15.000000000000002</v>
      </c>
      <c r="H17" s="2">
        <f>D17-$B$25</f>
        <v>-5</v>
      </c>
      <c r="I17" s="2">
        <f t="shared" si="1"/>
        <v>180.00000000000006</v>
      </c>
      <c r="J17" s="2">
        <f t="shared" si="2"/>
        <v>20</v>
      </c>
      <c r="K17" s="2">
        <f t="shared" si="8"/>
        <v>60.000000000000007</v>
      </c>
      <c r="L17" s="2">
        <f>IF(B17=0,0,-($I$26*G17+$J$26*H17)+N17/B17)</f>
        <v>3125</v>
      </c>
      <c r="M17" s="2">
        <f t="shared" si="9"/>
        <v>2500</v>
      </c>
      <c r="N17" s="2">
        <f t="shared" si="3"/>
        <v>0</v>
      </c>
      <c r="O17" s="12">
        <f t="shared" si="10"/>
        <v>0.8</v>
      </c>
      <c r="P17" s="12" t="s">
        <v>117</v>
      </c>
      <c r="Q17" s="12">
        <f t="shared" si="11"/>
        <v>0</v>
      </c>
      <c r="R17" s="2">
        <f t="shared" si="4"/>
        <v>1.6666666666666666E-2</v>
      </c>
      <c r="S17" s="12">
        <v>1</v>
      </c>
      <c r="T17" s="12">
        <v>0</v>
      </c>
      <c r="U17" s="12">
        <v>0</v>
      </c>
      <c r="V17" s="12">
        <v>0</v>
      </c>
    </row>
    <row r="18" spans="1:22" x14ac:dyDescent="0.3">
      <c r="A18" s="2">
        <v>6</v>
      </c>
      <c r="B18" s="2">
        <f t="shared" si="0"/>
        <v>0.8</v>
      </c>
      <c r="C18" s="12">
        <v>0</v>
      </c>
      <c r="D18" s="12">
        <v>10</v>
      </c>
      <c r="E18" s="2">
        <f t="shared" si="6"/>
        <v>0</v>
      </c>
      <c r="F18" s="2">
        <f t="shared" si="7"/>
        <v>8</v>
      </c>
      <c r="G18" s="2">
        <f>C18-$B$24</f>
        <v>-15.000000000000002</v>
      </c>
      <c r="H18" s="2">
        <f>D18-$B$25</f>
        <v>5</v>
      </c>
      <c r="I18" s="2">
        <f t="shared" si="1"/>
        <v>180.00000000000006</v>
      </c>
      <c r="J18" s="2">
        <f t="shared" si="2"/>
        <v>20</v>
      </c>
      <c r="K18" s="2">
        <f t="shared" si="8"/>
        <v>-60.000000000000007</v>
      </c>
      <c r="L18" s="2">
        <f>IF(B18=0,0,-($I$26*G18+$J$26*H18)+N18/B18)</f>
        <v>-3125</v>
      </c>
      <c r="M18" s="2">
        <f t="shared" si="9"/>
        <v>-2500</v>
      </c>
      <c r="N18" s="2">
        <f t="shared" si="3"/>
        <v>0</v>
      </c>
      <c r="O18" s="12">
        <f t="shared" si="10"/>
        <v>0.8</v>
      </c>
      <c r="P18" s="12" t="s">
        <v>116</v>
      </c>
      <c r="Q18" s="12">
        <v>2</v>
      </c>
      <c r="R18" s="2">
        <f t="shared" si="4"/>
        <v>3.1075311744212636E-3</v>
      </c>
      <c r="S18" s="12">
        <f t="shared" ref="S18:S20" si="12">IF(OR($P18="T",$P18="CT"),"Input",0)</f>
        <v>0</v>
      </c>
      <c r="T18" s="12">
        <f t="shared" si="5"/>
        <v>0</v>
      </c>
      <c r="U18" s="12">
        <f t="shared" si="5"/>
        <v>0</v>
      </c>
      <c r="V18" s="12">
        <f t="shared" si="5"/>
        <v>0</v>
      </c>
    </row>
    <row r="19" spans="1:22" x14ac:dyDescent="0.3">
      <c r="A19" s="2">
        <v>7</v>
      </c>
      <c r="B19" s="2">
        <f t="shared" si="0"/>
        <v>0.8</v>
      </c>
      <c r="C19" s="12">
        <v>10</v>
      </c>
      <c r="D19" s="12">
        <v>10</v>
      </c>
      <c r="E19" s="2">
        <f t="shared" si="6"/>
        <v>8</v>
      </c>
      <c r="F19" s="2">
        <f>B19*D19</f>
        <v>8</v>
      </c>
      <c r="G19" s="2">
        <f>C19-$B$24</f>
        <v>-5.0000000000000018</v>
      </c>
      <c r="H19" s="2">
        <f>D19-$B$25</f>
        <v>5</v>
      </c>
      <c r="I19" s="2">
        <f t="shared" si="1"/>
        <v>20.000000000000014</v>
      </c>
      <c r="J19" s="2">
        <f t="shared" si="2"/>
        <v>20</v>
      </c>
      <c r="K19" s="2">
        <f t="shared" si="8"/>
        <v>-20.000000000000007</v>
      </c>
      <c r="L19" s="2">
        <f>IF(B19=0,0,-($I$26*G19+$J$26*H19)+N19/B19)</f>
        <v>-3125</v>
      </c>
      <c r="M19" s="2">
        <f t="shared" si="9"/>
        <v>-2500</v>
      </c>
      <c r="N19" s="2">
        <f t="shared" si="3"/>
        <v>0</v>
      </c>
      <c r="O19" s="12">
        <f t="shared" si="10"/>
        <v>0.8</v>
      </c>
      <c r="P19" s="12" t="s">
        <v>116</v>
      </c>
      <c r="Q19" s="12">
        <v>3</v>
      </c>
      <c r="R19" s="2">
        <f t="shared" si="4"/>
        <v>4.6612967616318961E-3</v>
      </c>
      <c r="S19" s="12">
        <f t="shared" si="12"/>
        <v>0</v>
      </c>
      <c r="T19" s="12">
        <f t="shared" si="5"/>
        <v>0</v>
      </c>
      <c r="U19" s="12">
        <f t="shared" si="5"/>
        <v>0</v>
      </c>
      <c r="V19" s="12">
        <f t="shared" si="5"/>
        <v>0</v>
      </c>
    </row>
    <row r="20" spans="1:22" x14ac:dyDescent="0.3">
      <c r="A20" s="2">
        <v>8</v>
      </c>
      <c r="B20" s="2">
        <f t="shared" si="0"/>
        <v>0.8</v>
      </c>
      <c r="C20" s="12">
        <v>20</v>
      </c>
      <c r="D20" s="12">
        <v>10</v>
      </c>
      <c r="E20" s="2">
        <f t="shared" si="6"/>
        <v>16</v>
      </c>
      <c r="F20" s="2">
        <f t="shared" si="7"/>
        <v>8</v>
      </c>
      <c r="G20" s="2">
        <f>C20-$B$24</f>
        <v>4.9999999999999982</v>
      </c>
      <c r="H20" s="2">
        <f>D20-$B$25</f>
        <v>5</v>
      </c>
      <c r="I20" s="2">
        <f t="shared" si="1"/>
        <v>19.999999999999986</v>
      </c>
      <c r="J20" s="2">
        <f t="shared" si="2"/>
        <v>20</v>
      </c>
      <c r="K20" s="2">
        <f t="shared" si="8"/>
        <v>19.999999999999993</v>
      </c>
      <c r="L20" s="2">
        <f>IF(B20=0,0,-($I$26*G20+$J$26*H20)+N20/B20)</f>
        <v>-3125</v>
      </c>
      <c r="M20" s="2">
        <f t="shared" si="9"/>
        <v>-2500</v>
      </c>
      <c r="N20" s="2">
        <f t="shared" si="3"/>
        <v>0</v>
      </c>
      <c r="O20" s="12">
        <f t="shared" si="10"/>
        <v>0.8</v>
      </c>
      <c r="P20" s="12" t="s">
        <v>116</v>
      </c>
      <c r="Q20" s="12">
        <v>2</v>
      </c>
      <c r="R20" s="2">
        <f t="shared" si="4"/>
        <v>3.1075311744212636E-3</v>
      </c>
      <c r="S20" s="12">
        <f t="shared" si="12"/>
        <v>0</v>
      </c>
      <c r="T20" s="12">
        <f t="shared" si="5"/>
        <v>0</v>
      </c>
      <c r="U20" s="12">
        <f t="shared" si="5"/>
        <v>0</v>
      </c>
      <c r="V20" s="12">
        <f t="shared" si="5"/>
        <v>0</v>
      </c>
    </row>
    <row r="21" spans="1:22" x14ac:dyDescent="0.3">
      <c r="B21" s="1" t="s">
        <v>15</v>
      </c>
      <c r="E21" s="1" t="s">
        <v>16</v>
      </c>
      <c r="F21" s="1" t="s">
        <v>17</v>
      </c>
      <c r="I21" s="1" t="s">
        <v>18</v>
      </c>
      <c r="J21" s="1" t="s">
        <v>19</v>
      </c>
      <c r="K21" s="1" t="s">
        <v>21</v>
      </c>
      <c r="M21" s="1" t="s">
        <v>71</v>
      </c>
      <c r="N21" s="1"/>
    </row>
    <row r="22" spans="1:22" x14ac:dyDescent="0.3">
      <c r="B22" s="2">
        <f>SUM(B13:B20)</f>
        <v>6.3999999999999995</v>
      </c>
      <c r="E22" s="2">
        <f>SUM(E13:E20)</f>
        <v>96</v>
      </c>
      <c r="F22" s="2">
        <f>SUM(F13:F20)</f>
        <v>32</v>
      </c>
      <c r="I22" s="2">
        <f>SUM(I13:I20)</f>
        <v>800</v>
      </c>
      <c r="J22" s="2">
        <f>SUM(J13:J20)</f>
        <v>160</v>
      </c>
      <c r="K22" s="2">
        <f>SUM(K13:K20)</f>
        <v>0</v>
      </c>
      <c r="M22" s="2">
        <f>ROUNDDOWN(SUM(M13:M20),1)</f>
        <v>0</v>
      </c>
      <c r="N22" s="1"/>
    </row>
    <row r="23" spans="1:22" x14ac:dyDescent="0.3">
      <c r="A23" s="4" t="s">
        <v>8</v>
      </c>
      <c r="B23" s="1"/>
      <c r="I23" s="1" t="s">
        <v>47</v>
      </c>
      <c r="J23" s="1" t="s">
        <v>33</v>
      </c>
      <c r="K23" s="1" t="s">
        <v>34</v>
      </c>
    </row>
    <row r="24" spans="1:22" x14ac:dyDescent="0.3">
      <c r="A24" s="2" t="s">
        <v>9</v>
      </c>
      <c r="B24" s="2">
        <f>E22/B22</f>
        <v>15.000000000000002</v>
      </c>
      <c r="I24" s="2">
        <f>K22/(J22*I22-K22^2)</f>
        <v>0</v>
      </c>
      <c r="J24" s="2">
        <f>I22/(J22*I22-K22^2)</f>
        <v>6.2500000000000003E-3</v>
      </c>
      <c r="K24" s="2">
        <f>J22/(J22*I22-K22^2)</f>
        <v>1.25E-3</v>
      </c>
    </row>
    <row r="25" spans="1:22" x14ac:dyDescent="0.3">
      <c r="A25" s="2" t="s">
        <v>12</v>
      </c>
      <c r="B25" s="2">
        <f>F22/B22</f>
        <v>5</v>
      </c>
      <c r="I25" s="1" t="s">
        <v>23</v>
      </c>
      <c r="J25" s="1" t="s">
        <v>24</v>
      </c>
    </row>
    <row r="26" spans="1:22" x14ac:dyDescent="0.3">
      <c r="I26" s="2">
        <f>K24*E4-I24*E3</f>
        <v>0</v>
      </c>
      <c r="J26" s="2">
        <f>J24*E3-I24*E4</f>
        <v>625</v>
      </c>
    </row>
    <row r="27" spans="1:22" ht="18" x14ac:dyDescent="0.3">
      <c r="A27" s="11" t="s">
        <v>31</v>
      </c>
      <c r="B27" s="10"/>
    </row>
    <row r="28" spans="1:22" x14ac:dyDescent="0.3">
      <c r="C28" s="1" t="s">
        <v>74</v>
      </c>
      <c r="D28" s="1"/>
    </row>
    <row r="29" spans="1:22" x14ac:dyDescent="0.3">
      <c r="A29" s="1" t="s">
        <v>2</v>
      </c>
      <c r="B29" s="1" t="s">
        <v>3</v>
      </c>
      <c r="C29" s="1" t="s">
        <v>4</v>
      </c>
      <c r="D29" s="1" t="s">
        <v>5</v>
      </c>
      <c r="E29" s="1" t="s">
        <v>6</v>
      </c>
      <c r="F29" s="1" t="s">
        <v>7</v>
      </c>
      <c r="G29" s="1" t="s">
        <v>10</v>
      </c>
      <c r="H29" s="1" t="s">
        <v>11</v>
      </c>
      <c r="I29" s="1" t="s">
        <v>13</v>
      </c>
      <c r="J29" s="1" t="s">
        <v>14</v>
      </c>
      <c r="K29" s="1" t="s">
        <v>20</v>
      </c>
      <c r="L29" s="1" t="s">
        <v>22</v>
      </c>
      <c r="M29" s="1" t="s">
        <v>25</v>
      </c>
      <c r="N29" s="1" t="s">
        <v>70</v>
      </c>
      <c r="O29" s="1" t="s">
        <v>104</v>
      </c>
      <c r="P29" s="1" t="s">
        <v>114</v>
      </c>
      <c r="Q29" s="1" t="s">
        <v>113</v>
      </c>
      <c r="R29" s="1" t="s">
        <v>105</v>
      </c>
      <c r="S29" s="1" t="s">
        <v>69</v>
      </c>
      <c r="T29" s="1" t="s">
        <v>108</v>
      </c>
      <c r="U29" s="1" t="s">
        <v>109</v>
      </c>
      <c r="V29" s="1" t="s">
        <v>115</v>
      </c>
    </row>
    <row r="30" spans="1:22" x14ac:dyDescent="0.3">
      <c r="A30" s="2">
        <v>1</v>
      </c>
      <c r="B30" s="2">
        <f>B13</f>
        <v>0.8</v>
      </c>
      <c r="C30" s="12">
        <f>C13</f>
        <v>30</v>
      </c>
      <c r="D30" s="12">
        <f>D13</f>
        <v>10</v>
      </c>
      <c r="E30" s="2">
        <f>B30*C30</f>
        <v>24</v>
      </c>
      <c r="F30" s="2">
        <f>B30*D30</f>
        <v>8</v>
      </c>
      <c r="G30" s="2">
        <f t="shared" ref="G30:G37" si="13">C30-$B$24</f>
        <v>14.999999999999998</v>
      </c>
      <c r="H30" s="2">
        <f t="shared" ref="H30:H37" si="14">D30-$B$25</f>
        <v>5</v>
      </c>
      <c r="I30" s="2">
        <f t="shared" ref="I30:I37" si="15">B30*G30^2</f>
        <v>179.99999999999997</v>
      </c>
      <c r="J30" s="2">
        <f t="shared" ref="J30:J37" si="16">B30*H30^2</f>
        <v>20</v>
      </c>
      <c r="K30" s="2">
        <f>B30*G30*H30</f>
        <v>60</v>
      </c>
      <c r="L30" s="2">
        <f t="shared" ref="L30:L37" si="17">IF(B30=0,0,-($I$44*G30+$J$44*H30)+N30/B30)</f>
        <v>-6250</v>
      </c>
      <c r="M30" s="2">
        <f>L30*B30</f>
        <v>-5000</v>
      </c>
      <c r="N30" s="2">
        <f t="shared" ref="N30:N37" si="18">$T$3</f>
        <v>0</v>
      </c>
      <c r="O30" s="12">
        <f>O13</f>
        <v>0.8</v>
      </c>
      <c r="P30" s="12" t="str">
        <f>P13</f>
        <v>C</v>
      </c>
      <c r="Q30" s="12">
        <f>Q13</f>
        <v>2</v>
      </c>
      <c r="R30" s="2">
        <f>R13</f>
        <v>3.1075311744212636E-3</v>
      </c>
      <c r="S30" s="12">
        <f>S13</f>
        <v>0</v>
      </c>
      <c r="T30" s="12">
        <f>T13</f>
        <v>0</v>
      </c>
      <c r="U30" s="12">
        <f>U13</f>
        <v>0</v>
      </c>
      <c r="V30" s="12">
        <f>V13</f>
        <v>0</v>
      </c>
    </row>
    <row r="31" spans="1:22" x14ac:dyDescent="0.3">
      <c r="A31" s="2">
        <v>2</v>
      </c>
      <c r="B31" s="2">
        <f>B14</f>
        <v>0.8</v>
      </c>
      <c r="C31" s="12">
        <f>C14</f>
        <v>30</v>
      </c>
      <c r="D31" s="12">
        <f>D14</f>
        <v>0</v>
      </c>
      <c r="E31" s="2">
        <f t="shared" ref="E31:E37" si="19">B31*C31</f>
        <v>24</v>
      </c>
      <c r="F31" s="2">
        <f t="shared" ref="F31:F37" si="20">B31*D31</f>
        <v>0</v>
      </c>
      <c r="G31" s="2">
        <f t="shared" si="13"/>
        <v>14.999999999999998</v>
      </c>
      <c r="H31" s="2">
        <f t="shared" si="14"/>
        <v>-5</v>
      </c>
      <c r="I31" s="2">
        <f t="shared" si="15"/>
        <v>179.99999999999997</v>
      </c>
      <c r="J31" s="2">
        <f t="shared" si="16"/>
        <v>20</v>
      </c>
      <c r="K31" s="2">
        <f t="shared" ref="K31:K37" si="21">B31*G31*H31</f>
        <v>-60</v>
      </c>
      <c r="L31" s="2">
        <f t="shared" si="17"/>
        <v>6250</v>
      </c>
      <c r="M31" s="2">
        <f t="shared" ref="M31:M37" si="22">L31*B31</f>
        <v>5000</v>
      </c>
      <c r="N31" s="2">
        <f t="shared" si="18"/>
        <v>0</v>
      </c>
      <c r="O31" s="12">
        <f>O14</f>
        <v>0.8</v>
      </c>
      <c r="P31" s="12" t="str">
        <f>P14</f>
        <v>T</v>
      </c>
      <c r="Q31" s="12">
        <f>Q14</f>
        <v>0</v>
      </c>
      <c r="R31" s="2">
        <f>R14</f>
        <v>6.6666666666666666E-2</v>
      </c>
      <c r="S31" s="12">
        <f>S14</f>
        <v>1</v>
      </c>
      <c r="T31" s="12">
        <f>T14</f>
        <v>0</v>
      </c>
      <c r="U31" s="12">
        <f>U14</f>
        <v>0</v>
      </c>
      <c r="V31" s="12">
        <f>V14</f>
        <v>1</v>
      </c>
    </row>
    <row r="32" spans="1:22" x14ac:dyDescent="0.3">
      <c r="A32" s="2">
        <v>3</v>
      </c>
      <c r="B32" s="2">
        <f>B15</f>
        <v>0.8</v>
      </c>
      <c r="C32" s="12">
        <f>C15</f>
        <v>20</v>
      </c>
      <c r="D32" s="12">
        <f>D15</f>
        <v>0</v>
      </c>
      <c r="E32" s="2">
        <f t="shared" si="19"/>
        <v>16</v>
      </c>
      <c r="F32" s="2">
        <f t="shared" si="20"/>
        <v>0</v>
      </c>
      <c r="G32" s="2">
        <f t="shared" si="13"/>
        <v>4.9999999999999982</v>
      </c>
      <c r="H32" s="2">
        <f t="shared" si="14"/>
        <v>-5</v>
      </c>
      <c r="I32" s="2">
        <f t="shared" si="15"/>
        <v>19.999999999999986</v>
      </c>
      <c r="J32" s="2">
        <f t="shared" si="16"/>
        <v>20</v>
      </c>
      <c r="K32" s="2">
        <f t="shared" si="21"/>
        <v>-19.999999999999993</v>
      </c>
      <c r="L32" s="2">
        <f t="shared" si="17"/>
        <v>6250</v>
      </c>
      <c r="M32" s="2">
        <f t="shared" si="22"/>
        <v>5000</v>
      </c>
      <c r="N32" s="2">
        <f t="shared" si="18"/>
        <v>0</v>
      </c>
      <c r="O32" s="12">
        <f>O15</f>
        <v>0.8</v>
      </c>
      <c r="P32" s="12" t="str">
        <f>P15</f>
        <v>T</v>
      </c>
      <c r="Q32" s="12">
        <f>Q15</f>
        <v>0</v>
      </c>
      <c r="R32" s="2">
        <f>R15</f>
        <v>0.1</v>
      </c>
      <c r="S32" s="12">
        <f>S15</f>
        <v>0</v>
      </c>
      <c r="T32" s="12">
        <f>T15</f>
        <v>0</v>
      </c>
      <c r="U32" s="12">
        <f>U15</f>
        <v>1</v>
      </c>
      <c r="V32" s="12">
        <f>V15</f>
        <v>1</v>
      </c>
    </row>
    <row r="33" spans="1:23" x14ac:dyDescent="0.3">
      <c r="A33" s="2">
        <v>4</v>
      </c>
      <c r="B33" s="2">
        <f>B16</f>
        <v>0.8</v>
      </c>
      <c r="C33" s="12">
        <f>C16</f>
        <v>10</v>
      </c>
      <c r="D33" s="12">
        <f>D16</f>
        <v>0</v>
      </c>
      <c r="E33" s="2">
        <f t="shared" si="19"/>
        <v>8</v>
      </c>
      <c r="F33" s="2">
        <f t="shared" si="20"/>
        <v>0</v>
      </c>
      <c r="G33" s="2">
        <f t="shared" si="13"/>
        <v>-5.0000000000000018</v>
      </c>
      <c r="H33" s="2">
        <f t="shared" si="14"/>
        <v>-5</v>
      </c>
      <c r="I33" s="2">
        <f t="shared" si="15"/>
        <v>20.000000000000014</v>
      </c>
      <c r="J33" s="2">
        <f t="shared" si="16"/>
        <v>20</v>
      </c>
      <c r="K33" s="2">
        <f t="shared" si="21"/>
        <v>20.000000000000007</v>
      </c>
      <c r="L33" s="2">
        <f t="shared" si="17"/>
        <v>6250</v>
      </c>
      <c r="M33" s="2">
        <f t="shared" si="22"/>
        <v>5000</v>
      </c>
      <c r="N33" s="2">
        <f t="shared" si="18"/>
        <v>0</v>
      </c>
      <c r="O33" s="12">
        <f>O16</f>
        <v>0.8</v>
      </c>
      <c r="P33" s="12" t="str">
        <f>P16</f>
        <v>T</v>
      </c>
      <c r="Q33" s="12">
        <f>Q16</f>
        <v>0</v>
      </c>
      <c r="R33" s="2">
        <f>R16</f>
        <v>0.11666666666666667</v>
      </c>
      <c r="S33" s="12">
        <f>S16</f>
        <v>1</v>
      </c>
      <c r="T33" s="12">
        <f>T16</f>
        <v>1</v>
      </c>
      <c r="U33" s="12">
        <f>U16</f>
        <v>1</v>
      </c>
      <c r="V33" s="12">
        <f>V16</f>
        <v>0</v>
      </c>
    </row>
    <row r="34" spans="1:23" x14ac:dyDescent="0.3">
      <c r="A34" s="2">
        <v>5</v>
      </c>
      <c r="B34" s="2">
        <f>B17</f>
        <v>0.8</v>
      </c>
      <c r="C34" s="12">
        <f>C17</f>
        <v>0</v>
      </c>
      <c r="D34" s="12">
        <f>D17</f>
        <v>0</v>
      </c>
      <c r="E34" s="2">
        <f t="shared" si="19"/>
        <v>0</v>
      </c>
      <c r="F34" s="2">
        <f t="shared" si="20"/>
        <v>0</v>
      </c>
      <c r="G34" s="2">
        <f t="shared" si="13"/>
        <v>-15.000000000000002</v>
      </c>
      <c r="H34" s="2">
        <f t="shared" si="14"/>
        <v>-5</v>
      </c>
      <c r="I34" s="2">
        <f t="shared" si="15"/>
        <v>180.00000000000006</v>
      </c>
      <c r="J34" s="2">
        <f t="shared" si="16"/>
        <v>20</v>
      </c>
      <c r="K34" s="2">
        <f t="shared" si="21"/>
        <v>60.000000000000007</v>
      </c>
      <c r="L34" s="2">
        <f t="shared" si="17"/>
        <v>6250</v>
      </c>
      <c r="M34" s="2">
        <f t="shared" si="22"/>
        <v>5000</v>
      </c>
      <c r="N34" s="2">
        <f t="shared" si="18"/>
        <v>0</v>
      </c>
      <c r="O34" s="12">
        <f>O17</f>
        <v>0.8</v>
      </c>
      <c r="P34" s="12" t="str">
        <f>P17</f>
        <v>T</v>
      </c>
      <c r="Q34" s="12">
        <f>Q17</f>
        <v>0</v>
      </c>
      <c r="R34" s="2">
        <f>R17</f>
        <v>1.6666666666666666E-2</v>
      </c>
      <c r="S34" s="12">
        <f>S17</f>
        <v>1</v>
      </c>
      <c r="T34" s="12">
        <f>T17</f>
        <v>0</v>
      </c>
      <c r="U34" s="12">
        <f>U17</f>
        <v>0</v>
      </c>
      <c r="V34" s="12">
        <f>V17</f>
        <v>0</v>
      </c>
    </row>
    <row r="35" spans="1:23" x14ac:dyDescent="0.3">
      <c r="A35" s="2">
        <v>6</v>
      </c>
      <c r="B35" s="2">
        <f>B18</f>
        <v>0.8</v>
      </c>
      <c r="C35" s="12">
        <f>C18</f>
        <v>0</v>
      </c>
      <c r="D35" s="12">
        <f>D18</f>
        <v>10</v>
      </c>
      <c r="E35" s="2">
        <f t="shared" si="19"/>
        <v>0</v>
      </c>
      <c r="F35" s="2">
        <f t="shared" si="20"/>
        <v>8</v>
      </c>
      <c r="G35" s="2">
        <f t="shared" si="13"/>
        <v>-15.000000000000002</v>
      </c>
      <c r="H35" s="2">
        <f t="shared" si="14"/>
        <v>5</v>
      </c>
      <c r="I35" s="2">
        <f t="shared" si="15"/>
        <v>180.00000000000006</v>
      </c>
      <c r="J35" s="2">
        <f t="shared" si="16"/>
        <v>20</v>
      </c>
      <c r="K35" s="2">
        <f t="shared" si="21"/>
        <v>-60.000000000000007</v>
      </c>
      <c r="L35" s="2">
        <f t="shared" si="17"/>
        <v>-6250</v>
      </c>
      <c r="M35" s="2">
        <f t="shared" si="22"/>
        <v>-5000</v>
      </c>
      <c r="N35" s="2">
        <f t="shared" si="18"/>
        <v>0</v>
      </c>
      <c r="O35" s="12">
        <f>O18</f>
        <v>0.8</v>
      </c>
      <c r="P35" s="12" t="str">
        <f>P18</f>
        <v>C</v>
      </c>
      <c r="Q35" s="12">
        <f>Q18</f>
        <v>2</v>
      </c>
      <c r="R35" s="2">
        <f>R18</f>
        <v>3.1075311744212636E-3</v>
      </c>
      <c r="S35" s="12">
        <f>S18</f>
        <v>0</v>
      </c>
      <c r="T35" s="12">
        <f>T18</f>
        <v>0</v>
      </c>
      <c r="U35" s="12">
        <f>U18</f>
        <v>0</v>
      </c>
      <c r="V35" s="12">
        <f>V18</f>
        <v>0</v>
      </c>
    </row>
    <row r="36" spans="1:23" x14ac:dyDescent="0.3">
      <c r="A36" s="2">
        <v>7</v>
      </c>
      <c r="B36" s="2">
        <f t="shared" ref="B36:D37" si="23">B19</f>
        <v>0.8</v>
      </c>
      <c r="C36" s="12">
        <f t="shared" si="23"/>
        <v>10</v>
      </c>
      <c r="D36" s="12">
        <f t="shared" si="23"/>
        <v>10</v>
      </c>
      <c r="E36" s="2">
        <f t="shared" si="19"/>
        <v>8</v>
      </c>
      <c r="F36" s="2">
        <f t="shared" si="20"/>
        <v>8</v>
      </c>
      <c r="G36" s="2">
        <f t="shared" si="13"/>
        <v>-5.0000000000000018</v>
      </c>
      <c r="H36" s="2">
        <f t="shared" si="14"/>
        <v>5</v>
      </c>
      <c r="I36" s="2">
        <f t="shared" si="15"/>
        <v>20.000000000000014</v>
      </c>
      <c r="J36" s="2">
        <f t="shared" si="16"/>
        <v>20</v>
      </c>
      <c r="K36" s="2">
        <f t="shared" si="21"/>
        <v>-20.000000000000007</v>
      </c>
      <c r="L36" s="2">
        <f t="shared" si="17"/>
        <v>-6250</v>
      </c>
      <c r="M36" s="2">
        <f t="shared" si="22"/>
        <v>-5000</v>
      </c>
      <c r="N36" s="2">
        <f t="shared" si="18"/>
        <v>0</v>
      </c>
      <c r="O36" s="12">
        <f t="shared" ref="O36:P37" si="24">O19</f>
        <v>0.8</v>
      </c>
      <c r="P36" s="12" t="str">
        <f t="shared" si="24"/>
        <v>C</v>
      </c>
      <c r="Q36" s="12">
        <f t="shared" ref="Q36:R37" si="25">Q19</f>
        <v>3</v>
      </c>
      <c r="R36" s="2">
        <f t="shared" si="25"/>
        <v>4.6612967616318961E-3</v>
      </c>
      <c r="S36" s="12">
        <f t="shared" ref="S36:V37" si="26">S19</f>
        <v>0</v>
      </c>
      <c r="T36" s="12">
        <f t="shared" si="26"/>
        <v>0</v>
      </c>
      <c r="U36" s="12">
        <f t="shared" si="26"/>
        <v>0</v>
      </c>
      <c r="V36" s="12">
        <f t="shared" si="26"/>
        <v>0</v>
      </c>
    </row>
    <row r="37" spans="1:23" x14ac:dyDescent="0.3">
      <c r="A37" s="2">
        <v>8</v>
      </c>
      <c r="B37" s="2">
        <f t="shared" si="23"/>
        <v>0.8</v>
      </c>
      <c r="C37" s="12">
        <f t="shared" si="23"/>
        <v>20</v>
      </c>
      <c r="D37" s="12">
        <f t="shared" si="23"/>
        <v>10</v>
      </c>
      <c r="E37" s="2">
        <f t="shared" si="19"/>
        <v>16</v>
      </c>
      <c r="F37" s="2">
        <f t="shared" si="20"/>
        <v>8</v>
      </c>
      <c r="G37" s="2">
        <f t="shared" si="13"/>
        <v>4.9999999999999982</v>
      </c>
      <c r="H37" s="2">
        <f t="shared" si="14"/>
        <v>5</v>
      </c>
      <c r="I37" s="2">
        <f t="shared" si="15"/>
        <v>19.999999999999986</v>
      </c>
      <c r="J37" s="2">
        <f t="shared" si="16"/>
        <v>20</v>
      </c>
      <c r="K37" s="2">
        <f t="shared" si="21"/>
        <v>19.999999999999993</v>
      </c>
      <c r="L37" s="2">
        <f t="shared" si="17"/>
        <v>-6250</v>
      </c>
      <c r="M37" s="2">
        <f t="shared" si="22"/>
        <v>-5000</v>
      </c>
      <c r="N37" s="2">
        <f t="shared" si="18"/>
        <v>0</v>
      </c>
      <c r="O37" s="12">
        <f t="shared" si="24"/>
        <v>0.8</v>
      </c>
      <c r="P37" s="12" t="str">
        <f t="shared" si="24"/>
        <v>C</v>
      </c>
      <c r="Q37" s="12">
        <f t="shared" si="25"/>
        <v>2</v>
      </c>
      <c r="R37" s="2">
        <f t="shared" si="25"/>
        <v>3.1075311744212636E-3</v>
      </c>
      <c r="S37" s="12">
        <f t="shared" si="26"/>
        <v>0</v>
      </c>
      <c r="T37" s="12">
        <f t="shared" si="26"/>
        <v>0</v>
      </c>
      <c r="U37" s="12">
        <f t="shared" si="26"/>
        <v>0</v>
      </c>
      <c r="V37" s="12">
        <f t="shared" si="26"/>
        <v>0</v>
      </c>
    </row>
    <row r="38" spans="1:23" x14ac:dyDescent="0.3">
      <c r="B38" s="1" t="s">
        <v>15</v>
      </c>
      <c r="E38" s="1" t="s">
        <v>16</v>
      </c>
      <c r="F38" s="1" t="s">
        <v>17</v>
      </c>
      <c r="I38" s="1" t="s">
        <v>18</v>
      </c>
      <c r="J38" s="1" t="s">
        <v>19</v>
      </c>
      <c r="K38" s="1" t="s">
        <v>21</v>
      </c>
      <c r="M38" s="1" t="s">
        <v>71</v>
      </c>
    </row>
    <row r="39" spans="1:23" x14ac:dyDescent="0.3">
      <c r="B39" s="2">
        <f>SUM(B30:B37)</f>
        <v>6.3999999999999995</v>
      </c>
      <c r="E39" s="2">
        <f>SUM(E30:E37)</f>
        <v>96</v>
      </c>
      <c r="F39" s="2">
        <f>SUM(F30:F37)</f>
        <v>32</v>
      </c>
      <c r="I39" s="2">
        <f>SUM(I30:I37)</f>
        <v>800</v>
      </c>
      <c r="J39" s="2">
        <f>SUM(J30:J37)</f>
        <v>160</v>
      </c>
      <c r="K39" s="2">
        <f>SUM(K30:K37)</f>
        <v>0</v>
      </c>
      <c r="M39" s="2">
        <f>ROUNDDOWN(SUM(M30:M37),1)</f>
        <v>0</v>
      </c>
    </row>
    <row r="41" spans="1:23" x14ac:dyDescent="0.3">
      <c r="A41" s="4" t="s">
        <v>8</v>
      </c>
      <c r="B41" s="1"/>
      <c r="I41" s="1" t="s">
        <v>47</v>
      </c>
      <c r="J41" s="1" t="s">
        <v>33</v>
      </c>
      <c r="K41" s="1" t="s">
        <v>34</v>
      </c>
    </row>
    <row r="42" spans="1:23" x14ac:dyDescent="0.3">
      <c r="A42" s="2" t="s">
        <v>9</v>
      </c>
      <c r="B42" s="2">
        <f>E39/B39</f>
        <v>15.000000000000002</v>
      </c>
      <c r="I42" s="2">
        <f>K39/(J39*I39-K39^2)</f>
        <v>0</v>
      </c>
      <c r="J42" s="2">
        <f>I39/(J39*I39-K39^2)</f>
        <v>6.2500000000000003E-3</v>
      </c>
      <c r="K42" s="2">
        <f>J39/(J39*I39-K39^2)</f>
        <v>1.25E-3</v>
      </c>
      <c r="W42"/>
    </row>
    <row r="43" spans="1:23" x14ac:dyDescent="0.3">
      <c r="A43" s="2" t="s">
        <v>12</v>
      </c>
      <c r="B43" s="2">
        <f>F39/B39</f>
        <v>5</v>
      </c>
      <c r="I43" s="1" t="s">
        <v>23</v>
      </c>
      <c r="J43" s="1" t="s">
        <v>24</v>
      </c>
    </row>
    <row r="44" spans="1:23" x14ac:dyDescent="0.3">
      <c r="I44" s="2">
        <f>K42*H4-I42*H3</f>
        <v>0</v>
      </c>
      <c r="J44" s="2">
        <f>J42*H3-I42*H4</f>
        <v>1250</v>
      </c>
    </row>
    <row r="45" spans="1:23" ht="18" x14ac:dyDescent="0.3">
      <c r="A45" s="11" t="s">
        <v>35</v>
      </c>
      <c r="B45" s="10"/>
    </row>
    <row r="46" spans="1:23" x14ac:dyDescent="0.3">
      <c r="D46" s="2" t="s">
        <v>72</v>
      </c>
    </row>
    <row r="47" spans="1:23" x14ac:dyDescent="0.3">
      <c r="A47" s="1" t="s">
        <v>2</v>
      </c>
      <c r="B47" s="1" t="s">
        <v>26</v>
      </c>
      <c r="C47" s="1" t="s">
        <v>27</v>
      </c>
      <c r="D47" s="1" t="s">
        <v>28</v>
      </c>
      <c r="E47" s="1" t="s">
        <v>29</v>
      </c>
    </row>
    <row r="48" spans="1:23" x14ac:dyDescent="0.3">
      <c r="A48" s="2">
        <v>1</v>
      </c>
      <c r="B48" s="2">
        <f>M13</f>
        <v>-2500</v>
      </c>
      <c r="C48" s="2">
        <f t="shared" ref="C48:C55" si="27">M30</f>
        <v>-5000</v>
      </c>
      <c r="D48" s="2">
        <f>(C48-B48)</f>
        <v>-2500</v>
      </c>
      <c r="E48" s="2">
        <f t="shared" ref="E48:E55" si="28">D48/$T$4</f>
        <v>-250</v>
      </c>
    </row>
    <row r="49" spans="1:17" x14ac:dyDescent="0.3">
      <c r="A49" s="2">
        <v>2</v>
      </c>
      <c r="B49" s="2">
        <f>M14</f>
        <v>2500</v>
      </c>
      <c r="C49" s="2">
        <f t="shared" si="27"/>
        <v>5000</v>
      </c>
      <c r="D49" s="2">
        <f t="shared" ref="D49:D55" si="29">(C49-B49)</f>
        <v>2500</v>
      </c>
      <c r="E49" s="2">
        <f t="shared" si="28"/>
        <v>250</v>
      </c>
    </row>
    <row r="50" spans="1:17" x14ac:dyDescent="0.3">
      <c r="A50" s="2">
        <v>3</v>
      </c>
      <c r="B50" s="2">
        <f>M15</f>
        <v>2500</v>
      </c>
      <c r="C50" s="2">
        <f t="shared" si="27"/>
        <v>5000</v>
      </c>
      <c r="D50" s="2">
        <f t="shared" si="29"/>
        <v>2500</v>
      </c>
      <c r="E50" s="2">
        <f t="shared" si="28"/>
        <v>250</v>
      </c>
    </row>
    <row r="51" spans="1:17" x14ac:dyDescent="0.3">
      <c r="A51" s="2">
        <v>4</v>
      </c>
      <c r="B51" s="2">
        <f>M16</f>
        <v>2500</v>
      </c>
      <c r="C51" s="2">
        <f t="shared" si="27"/>
        <v>5000</v>
      </c>
      <c r="D51" s="2">
        <f t="shared" si="29"/>
        <v>2500</v>
      </c>
      <c r="E51" s="2">
        <f t="shared" si="28"/>
        <v>250</v>
      </c>
    </row>
    <row r="52" spans="1:17" x14ac:dyDescent="0.3">
      <c r="A52" s="2">
        <v>5</v>
      </c>
      <c r="B52" s="2">
        <f>M17</f>
        <v>2500</v>
      </c>
      <c r="C52" s="2">
        <f t="shared" si="27"/>
        <v>5000</v>
      </c>
      <c r="D52" s="2">
        <f t="shared" si="29"/>
        <v>2500</v>
      </c>
      <c r="E52" s="2">
        <f t="shared" si="28"/>
        <v>250</v>
      </c>
    </row>
    <row r="53" spans="1:17" x14ac:dyDescent="0.3">
      <c r="A53" s="2">
        <v>6</v>
      </c>
      <c r="B53" s="2">
        <f>M18</f>
        <v>-2500</v>
      </c>
      <c r="C53" s="2">
        <f t="shared" si="27"/>
        <v>-5000</v>
      </c>
      <c r="D53" s="2">
        <f t="shared" si="29"/>
        <v>-2500</v>
      </c>
      <c r="E53" s="2">
        <f t="shared" si="28"/>
        <v>-250</v>
      </c>
    </row>
    <row r="54" spans="1:17" x14ac:dyDescent="0.3">
      <c r="A54" s="2">
        <v>7</v>
      </c>
      <c r="B54" s="2">
        <f t="shared" ref="B54:B55" si="30">M19</f>
        <v>-2500</v>
      </c>
      <c r="C54" s="2">
        <f t="shared" si="27"/>
        <v>-5000</v>
      </c>
      <c r="D54" s="2">
        <f t="shared" si="29"/>
        <v>-2500</v>
      </c>
      <c r="E54" s="2">
        <f t="shared" si="28"/>
        <v>-250</v>
      </c>
    </row>
    <row r="55" spans="1:17" x14ac:dyDescent="0.3">
      <c r="A55" s="2">
        <v>8</v>
      </c>
      <c r="B55" s="2">
        <f t="shared" si="30"/>
        <v>-2500</v>
      </c>
      <c r="C55" s="2">
        <f t="shared" si="27"/>
        <v>-5000</v>
      </c>
      <c r="D55" s="2">
        <f t="shared" si="29"/>
        <v>-2500</v>
      </c>
      <c r="E55" s="2">
        <f t="shared" si="28"/>
        <v>-250</v>
      </c>
      <c r="Q55"/>
    </row>
    <row r="57" spans="1:17" x14ac:dyDescent="0.3">
      <c r="A57" s="5" t="s">
        <v>97</v>
      </c>
      <c r="B57" s="5"/>
      <c r="C57" s="5"/>
      <c r="D57" s="5"/>
      <c r="E57" s="5"/>
    </row>
    <row r="58" spans="1:17" x14ac:dyDescent="0.3">
      <c r="A58" s="5" t="s">
        <v>98</v>
      </c>
    </row>
    <row r="60" spans="1:17" x14ac:dyDescent="0.3">
      <c r="A60" s="14" t="s">
        <v>123</v>
      </c>
    </row>
    <row r="61" spans="1:17" x14ac:dyDescent="0.3">
      <c r="A61" s="1" t="s">
        <v>4</v>
      </c>
      <c r="B61" s="1" t="s">
        <v>5</v>
      </c>
    </row>
    <row r="62" spans="1:17" x14ac:dyDescent="0.3">
      <c r="A62" s="2">
        <f>G19</f>
        <v>-5.0000000000000018</v>
      </c>
      <c r="B62" s="2">
        <f>H19</f>
        <v>5</v>
      </c>
    </row>
    <row r="64" spans="1:17" x14ac:dyDescent="0.3">
      <c r="F64" s="6" t="s">
        <v>75</v>
      </c>
      <c r="G64" s="6"/>
      <c r="J64" s="6"/>
      <c r="K64" s="6" t="s">
        <v>76</v>
      </c>
    </row>
    <row r="65" spans="1:27" x14ac:dyDescent="0.3">
      <c r="A65" s="1" t="s">
        <v>30</v>
      </c>
      <c r="B65" s="1" t="s">
        <v>102</v>
      </c>
      <c r="C65" s="1" t="s">
        <v>103</v>
      </c>
      <c r="D65" s="1" t="s">
        <v>38</v>
      </c>
      <c r="E65" s="1" t="s">
        <v>77</v>
      </c>
      <c r="F65" s="1" t="s">
        <v>78</v>
      </c>
      <c r="G65" s="1" t="s">
        <v>79</v>
      </c>
      <c r="H65" s="1" t="s">
        <v>66</v>
      </c>
      <c r="I65" s="1" t="s">
        <v>67</v>
      </c>
      <c r="J65" s="1" t="s">
        <v>77</v>
      </c>
      <c r="K65" s="1" t="s">
        <v>78</v>
      </c>
      <c r="L65" s="1" t="s">
        <v>79</v>
      </c>
      <c r="M65" s="1" t="s">
        <v>45</v>
      </c>
      <c r="N65" s="1" t="s">
        <v>46</v>
      </c>
      <c r="P65" s="1" t="s">
        <v>36</v>
      </c>
      <c r="Q65" s="1" t="s">
        <v>37</v>
      </c>
      <c r="R65" s="1" t="s">
        <v>39</v>
      </c>
      <c r="S65" s="1" t="s">
        <v>48</v>
      </c>
      <c r="T65" s="1" t="s">
        <v>49</v>
      </c>
      <c r="U65" s="1" t="s">
        <v>50</v>
      </c>
      <c r="V65" s="1" t="s">
        <v>51</v>
      </c>
      <c r="Y65" s="1" t="s">
        <v>60</v>
      </c>
      <c r="Z65" s="1" t="s">
        <v>61</v>
      </c>
      <c r="AA65" s="1" t="s">
        <v>63</v>
      </c>
    </row>
    <row r="66" spans="1:27" x14ac:dyDescent="0.3">
      <c r="A66" s="2" t="s">
        <v>122</v>
      </c>
      <c r="E66" s="2" t="s">
        <v>119</v>
      </c>
      <c r="F66" s="2" t="s">
        <v>120</v>
      </c>
      <c r="G66" s="2" t="s">
        <v>121</v>
      </c>
      <c r="J66" s="2" t="s">
        <v>119</v>
      </c>
      <c r="K66" s="2" t="s">
        <v>120</v>
      </c>
      <c r="L66" s="2" t="s">
        <v>121</v>
      </c>
    </row>
    <row r="67" spans="1:27" x14ac:dyDescent="0.3">
      <c r="A67" s="7" t="s">
        <v>87</v>
      </c>
      <c r="B67" s="2" t="s">
        <v>101</v>
      </c>
      <c r="C67" s="2">
        <v>1</v>
      </c>
      <c r="D67" s="2">
        <f>IF(C67="None",0,D74+E48)</f>
        <v>0</v>
      </c>
      <c r="E67" s="2">
        <f>A62</f>
        <v>-5.0000000000000018</v>
      </c>
      <c r="F67" s="2">
        <f>G13</f>
        <v>14.999999999999998</v>
      </c>
      <c r="G67" s="2">
        <f>G14</f>
        <v>14.999999999999998</v>
      </c>
      <c r="H67" s="2">
        <f>F67-G67</f>
        <v>0</v>
      </c>
      <c r="I67" s="2">
        <f>D67*H67</f>
        <v>0</v>
      </c>
      <c r="J67" s="2">
        <f>B62</f>
        <v>5</v>
      </c>
      <c r="K67" s="2">
        <f>H13</f>
        <v>5</v>
      </c>
      <c r="L67" s="2">
        <f>H14</f>
        <v>-5</v>
      </c>
      <c r="M67" s="2">
        <f>K67-L67</f>
        <v>10</v>
      </c>
      <c r="N67" s="2">
        <f t="shared" ref="N67:N75" si="31">D67*M67</f>
        <v>0</v>
      </c>
      <c r="P67" s="2">
        <f>IF(C67="None",0,ABS(E67*(K67-L67)+F67*(L67-J67)+G67*(J67-K67))/2)</f>
        <v>100</v>
      </c>
      <c r="Q67" s="2">
        <f t="shared" ref="Q67:Q75" si="32">P67*2</f>
        <v>200</v>
      </c>
      <c r="R67" s="2">
        <f t="shared" ref="R67:R75" si="33">Q67*D67</f>
        <v>0</v>
      </c>
      <c r="S67" s="2">
        <f t="shared" ref="S67:S75" si="34">SQRT((F67-G67)^2+(K67-L67)^2)</f>
        <v>10</v>
      </c>
      <c r="T67" s="2">
        <f>$N$4</f>
        <v>0.01</v>
      </c>
      <c r="U67" s="2">
        <f t="shared" ref="U67:U75" si="35">S67/T67</f>
        <v>1000</v>
      </c>
      <c r="V67" s="2">
        <f t="shared" ref="V67:V75" si="36">D67*U67</f>
        <v>0</v>
      </c>
      <c r="Y67" s="2">
        <f t="shared" ref="Y67:Y75" si="37">IF(C67="None",0,D67+IF(C67=1,$I$88,IF(C67=2,$I$89,IF(C67=12,$I$89-$I$88,"Error"))))</f>
        <v>-298.07692307692309</v>
      </c>
      <c r="Z67" s="2">
        <f t="shared" ref="Z67:Z75" si="38">Y67*H67</f>
        <v>0</v>
      </c>
      <c r="AA67" s="2">
        <f t="shared" ref="AA67:AA75" si="39">Y67*M67</f>
        <v>-2980.7692307692309</v>
      </c>
    </row>
    <row r="68" spans="1:27" x14ac:dyDescent="0.3">
      <c r="A68" s="7" t="s">
        <v>88</v>
      </c>
      <c r="C68" s="2">
        <v>1</v>
      </c>
      <c r="D68" s="2">
        <f>IF(C68="None",0,E49)</f>
        <v>250</v>
      </c>
      <c r="E68" s="2">
        <f t="shared" ref="E68:E75" si="40">$E$67</f>
        <v>-5.0000000000000018</v>
      </c>
      <c r="F68" s="2">
        <f>G14</f>
        <v>14.999999999999998</v>
      </c>
      <c r="G68" s="2">
        <f>G15</f>
        <v>4.9999999999999982</v>
      </c>
      <c r="H68" s="2">
        <f t="shared" ref="H68:H75" si="41">F68-G68</f>
        <v>10</v>
      </c>
      <c r="I68" s="2">
        <f t="shared" ref="I68:I75" si="42">D68*H68</f>
        <v>2500</v>
      </c>
      <c r="J68" s="2">
        <f t="shared" ref="J68:J75" si="43">$J$67</f>
        <v>5</v>
      </c>
      <c r="K68" s="2">
        <f>H14</f>
        <v>-5</v>
      </c>
      <c r="L68" s="2">
        <f>H15</f>
        <v>-5</v>
      </c>
      <c r="M68" s="2">
        <f t="shared" ref="M68:M74" si="44">K68-L68</f>
        <v>0</v>
      </c>
      <c r="N68" s="2">
        <f t="shared" si="31"/>
        <v>0</v>
      </c>
      <c r="P68" s="2">
        <f t="shared" ref="P68:P75" si="45">IF(C68="None",0,ABS(E68*(K68-L68)+F68*(L68-J68)+G68*(J68-K68))/2)</f>
        <v>49.999999999999993</v>
      </c>
      <c r="Q68" s="2">
        <f t="shared" si="32"/>
        <v>99.999999999999986</v>
      </c>
      <c r="R68" s="2">
        <f t="shared" si="33"/>
        <v>24999.999999999996</v>
      </c>
      <c r="S68" s="2">
        <f t="shared" si="34"/>
        <v>10</v>
      </c>
      <c r="T68" s="2">
        <f t="shared" ref="T68:T75" si="46">$N$4</f>
        <v>0.01</v>
      </c>
      <c r="U68" s="2">
        <f t="shared" si="35"/>
        <v>1000</v>
      </c>
      <c r="V68" s="2">
        <f t="shared" si="36"/>
        <v>250000</v>
      </c>
      <c r="Y68" s="2">
        <f t="shared" si="37"/>
        <v>-48.076923076923094</v>
      </c>
      <c r="Z68" s="2">
        <f t="shared" si="38"/>
        <v>-480.76923076923094</v>
      </c>
      <c r="AA68" s="2">
        <f t="shared" si="39"/>
        <v>0</v>
      </c>
    </row>
    <row r="69" spans="1:27" x14ac:dyDescent="0.3">
      <c r="A69" s="7" t="s">
        <v>89</v>
      </c>
      <c r="C69" s="2">
        <v>1</v>
      </c>
      <c r="D69" s="2">
        <f t="shared" ref="D69:D74" si="47">IF(C69="None",0,D68+E50)</f>
        <v>500</v>
      </c>
      <c r="E69" s="2">
        <f t="shared" si="40"/>
        <v>-5.0000000000000018</v>
      </c>
      <c r="F69" s="2">
        <f>G15</f>
        <v>4.9999999999999982</v>
      </c>
      <c r="G69" s="2">
        <f>G16</f>
        <v>-5.0000000000000018</v>
      </c>
      <c r="H69" s="2">
        <f t="shared" si="41"/>
        <v>10</v>
      </c>
      <c r="I69" s="2">
        <f t="shared" si="42"/>
        <v>5000</v>
      </c>
      <c r="J69" s="2">
        <f t="shared" si="43"/>
        <v>5</v>
      </c>
      <c r="K69" s="2">
        <f>H15</f>
        <v>-5</v>
      </c>
      <c r="L69" s="2">
        <f>H16</f>
        <v>-5</v>
      </c>
      <c r="M69" s="2">
        <f t="shared" si="44"/>
        <v>0</v>
      </c>
      <c r="N69" s="2">
        <f t="shared" si="31"/>
        <v>0</v>
      </c>
      <c r="P69" s="2">
        <f t="shared" si="45"/>
        <v>50</v>
      </c>
      <c r="Q69" s="2">
        <f t="shared" si="32"/>
        <v>100</v>
      </c>
      <c r="R69" s="2">
        <f t="shared" si="33"/>
        <v>50000</v>
      </c>
      <c r="S69" s="2">
        <f t="shared" si="34"/>
        <v>10</v>
      </c>
      <c r="T69" s="2">
        <f t="shared" si="46"/>
        <v>0.01</v>
      </c>
      <c r="U69" s="2">
        <f t="shared" si="35"/>
        <v>1000</v>
      </c>
      <c r="V69" s="2">
        <f t="shared" si="36"/>
        <v>500000</v>
      </c>
      <c r="Y69" s="2">
        <f t="shared" si="37"/>
        <v>201.92307692307691</v>
      </c>
      <c r="Z69" s="2">
        <f t="shared" si="38"/>
        <v>2019.2307692307691</v>
      </c>
      <c r="AA69" s="2">
        <f t="shared" si="39"/>
        <v>0</v>
      </c>
    </row>
    <row r="70" spans="1:27" x14ac:dyDescent="0.3">
      <c r="A70" s="7" t="s">
        <v>90</v>
      </c>
      <c r="C70" s="2">
        <v>2</v>
      </c>
      <c r="D70" s="2">
        <f t="shared" si="47"/>
        <v>750</v>
      </c>
      <c r="E70" s="2">
        <f t="shared" si="40"/>
        <v>-5.0000000000000018</v>
      </c>
      <c r="F70" s="2">
        <f>G16</f>
        <v>-5.0000000000000018</v>
      </c>
      <c r="G70" s="2">
        <f>G17</f>
        <v>-15.000000000000002</v>
      </c>
      <c r="H70" s="2">
        <f t="shared" si="41"/>
        <v>10</v>
      </c>
      <c r="I70" s="2">
        <f t="shared" si="42"/>
        <v>7500</v>
      </c>
      <c r="J70" s="2">
        <f t="shared" si="43"/>
        <v>5</v>
      </c>
      <c r="K70" s="2">
        <f>H16</f>
        <v>-5</v>
      </c>
      <c r="L70" s="2">
        <f>H17</f>
        <v>-5</v>
      </c>
      <c r="M70" s="2">
        <f t="shared" si="44"/>
        <v>0</v>
      </c>
      <c r="N70" s="2">
        <f t="shared" si="31"/>
        <v>0</v>
      </c>
      <c r="P70" s="2">
        <f t="shared" si="45"/>
        <v>50.000000000000007</v>
      </c>
      <c r="Q70" s="2">
        <f t="shared" si="32"/>
        <v>100.00000000000001</v>
      </c>
      <c r="R70" s="2">
        <f t="shared" si="33"/>
        <v>75000.000000000015</v>
      </c>
      <c r="S70" s="2">
        <f t="shared" si="34"/>
        <v>10</v>
      </c>
      <c r="T70" s="2">
        <f t="shared" si="46"/>
        <v>0.01</v>
      </c>
      <c r="U70" s="2">
        <f t="shared" si="35"/>
        <v>1000</v>
      </c>
      <c r="V70" s="2">
        <f t="shared" si="36"/>
        <v>750000</v>
      </c>
      <c r="Y70" s="2">
        <f t="shared" si="37"/>
        <v>96.153846153846189</v>
      </c>
      <c r="Z70" s="2">
        <f t="shared" si="38"/>
        <v>961.53846153846189</v>
      </c>
      <c r="AA70" s="2">
        <f t="shared" si="39"/>
        <v>0</v>
      </c>
    </row>
    <row r="71" spans="1:27" x14ac:dyDescent="0.3">
      <c r="A71" s="7" t="s">
        <v>91</v>
      </c>
      <c r="C71" s="2">
        <v>2</v>
      </c>
      <c r="D71" s="2">
        <f t="shared" si="47"/>
        <v>1000</v>
      </c>
      <c r="E71" s="2">
        <f t="shared" si="40"/>
        <v>-5.0000000000000018</v>
      </c>
      <c r="F71" s="2">
        <f>G17</f>
        <v>-15.000000000000002</v>
      </c>
      <c r="G71" s="2">
        <f>G18</f>
        <v>-15.000000000000002</v>
      </c>
      <c r="H71" s="2">
        <f t="shared" si="41"/>
        <v>0</v>
      </c>
      <c r="I71" s="2">
        <f t="shared" si="42"/>
        <v>0</v>
      </c>
      <c r="J71" s="2">
        <f t="shared" si="43"/>
        <v>5</v>
      </c>
      <c r="K71" s="2">
        <f>H17</f>
        <v>-5</v>
      </c>
      <c r="L71" s="2">
        <f>H18</f>
        <v>5</v>
      </c>
      <c r="M71" s="2">
        <f t="shared" si="44"/>
        <v>-10</v>
      </c>
      <c r="N71" s="2">
        <f t="shared" si="31"/>
        <v>-10000</v>
      </c>
      <c r="P71" s="2">
        <f t="shared" si="45"/>
        <v>50.000000000000007</v>
      </c>
      <c r="Q71" s="2">
        <f t="shared" si="32"/>
        <v>100.00000000000001</v>
      </c>
      <c r="R71" s="2">
        <f t="shared" si="33"/>
        <v>100000.00000000001</v>
      </c>
      <c r="S71" s="2">
        <f t="shared" si="34"/>
        <v>10</v>
      </c>
      <c r="T71" s="2">
        <f t="shared" si="46"/>
        <v>0.01</v>
      </c>
      <c r="U71" s="2">
        <f t="shared" si="35"/>
        <v>1000</v>
      </c>
      <c r="V71" s="2">
        <f t="shared" si="36"/>
        <v>1000000</v>
      </c>
      <c r="Y71" s="2">
        <f t="shared" si="37"/>
        <v>346.15384615384619</v>
      </c>
      <c r="Z71" s="2">
        <f t="shared" si="38"/>
        <v>0</v>
      </c>
      <c r="AA71" s="2">
        <f t="shared" si="39"/>
        <v>-3461.5384615384619</v>
      </c>
    </row>
    <row r="72" spans="1:27" x14ac:dyDescent="0.3">
      <c r="A72" s="7" t="s">
        <v>92</v>
      </c>
      <c r="C72" s="2">
        <v>2</v>
      </c>
      <c r="D72" s="2">
        <f t="shared" si="47"/>
        <v>750</v>
      </c>
      <c r="E72" s="2">
        <f t="shared" si="40"/>
        <v>-5.0000000000000018</v>
      </c>
      <c r="F72" s="2">
        <f>G18</f>
        <v>-15.000000000000002</v>
      </c>
      <c r="G72" s="2">
        <f t="shared" ref="G72:G73" si="48">G19</f>
        <v>-5.0000000000000018</v>
      </c>
      <c r="H72" s="2">
        <f t="shared" si="41"/>
        <v>-10</v>
      </c>
      <c r="I72" s="2">
        <f t="shared" si="42"/>
        <v>-7500</v>
      </c>
      <c r="J72" s="2">
        <f t="shared" si="43"/>
        <v>5</v>
      </c>
      <c r="K72" s="2">
        <f>H18</f>
        <v>5</v>
      </c>
      <c r="L72" s="2">
        <f t="shared" ref="L72:L73" si="49">H19</f>
        <v>5</v>
      </c>
      <c r="M72" s="2">
        <f t="shared" si="44"/>
        <v>0</v>
      </c>
      <c r="N72" s="2">
        <f t="shared" si="31"/>
        <v>0</v>
      </c>
      <c r="P72" s="2">
        <f t="shared" si="45"/>
        <v>0</v>
      </c>
      <c r="Q72" s="2">
        <f t="shared" si="32"/>
        <v>0</v>
      </c>
      <c r="R72" s="2">
        <f t="shared" si="33"/>
        <v>0</v>
      </c>
      <c r="S72" s="2">
        <f t="shared" si="34"/>
        <v>10</v>
      </c>
      <c r="T72" s="2">
        <f t="shared" si="46"/>
        <v>0.01</v>
      </c>
      <c r="U72" s="2">
        <f t="shared" si="35"/>
        <v>1000</v>
      </c>
      <c r="V72" s="2">
        <f t="shared" si="36"/>
        <v>750000</v>
      </c>
      <c r="Y72" s="2">
        <f t="shared" si="37"/>
        <v>96.153846153846189</v>
      </c>
      <c r="Z72" s="2">
        <f t="shared" si="38"/>
        <v>-961.53846153846189</v>
      </c>
      <c r="AA72" s="2">
        <f t="shared" si="39"/>
        <v>0</v>
      </c>
    </row>
    <row r="73" spans="1:27" x14ac:dyDescent="0.3">
      <c r="A73" s="7" t="s">
        <v>93</v>
      </c>
      <c r="C73" s="2">
        <v>1</v>
      </c>
      <c r="D73" s="2">
        <f t="shared" si="47"/>
        <v>500</v>
      </c>
      <c r="E73" s="2">
        <f t="shared" si="40"/>
        <v>-5.0000000000000018</v>
      </c>
      <c r="F73" s="2">
        <f t="shared" ref="F73:F74" si="50">G19</f>
        <v>-5.0000000000000018</v>
      </c>
      <c r="G73" s="2">
        <f t="shared" si="48"/>
        <v>4.9999999999999982</v>
      </c>
      <c r="H73" s="2">
        <f t="shared" si="41"/>
        <v>-10</v>
      </c>
      <c r="I73" s="2">
        <f t="shared" si="42"/>
        <v>-5000</v>
      </c>
      <c r="J73" s="2">
        <f t="shared" si="43"/>
        <v>5</v>
      </c>
      <c r="K73" s="2">
        <f t="shared" ref="K73:K74" si="51">H19</f>
        <v>5</v>
      </c>
      <c r="L73" s="2">
        <f t="shared" si="49"/>
        <v>5</v>
      </c>
      <c r="M73" s="2">
        <f t="shared" si="44"/>
        <v>0</v>
      </c>
      <c r="N73" s="2">
        <f t="shared" si="31"/>
        <v>0</v>
      </c>
      <c r="P73" s="2">
        <f t="shared" si="45"/>
        <v>0</v>
      </c>
      <c r="Q73" s="2">
        <f t="shared" si="32"/>
        <v>0</v>
      </c>
      <c r="R73" s="2">
        <f t="shared" si="33"/>
        <v>0</v>
      </c>
      <c r="S73" s="2">
        <f t="shared" si="34"/>
        <v>10</v>
      </c>
      <c r="T73" s="2">
        <f t="shared" si="46"/>
        <v>0.01</v>
      </c>
      <c r="U73" s="2">
        <f t="shared" si="35"/>
        <v>1000</v>
      </c>
      <c r="V73" s="2">
        <f t="shared" si="36"/>
        <v>500000</v>
      </c>
      <c r="Y73" s="2">
        <f t="shared" si="37"/>
        <v>201.92307692307691</v>
      </c>
      <c r="Z73" s="2">
        <f t="shared" si="38"/>
        <v>-2019.2307692307691</v>
      </c>
      <c r="AA73" s="2">
        <f t="shared" si="39"/>
        <v>0</v>
      </c>
    </row>
    <row r="74" spans="1:27" x14ac:dyDescent="0.3">
      <c r="A74" s="7" t="s">
        <v>94</v>
      </c>
      <c r="C74" s="2">
        <v>1</v>
      </c>
      <c r="D74" s="2">
        <f t="shared" si="47"/>
        <v>250</v>
      </c>
      <c r="E74" s="2">
        <f t="shared" si="40"/>
        <v>-5.0000000000000018</v>
      </c>
      <c r="F74" s="2">
        <f t="shared" si="50"/>
        <v>4.9999999999999982</v>
      </c>
      <c r="G74" s="2">
        <f>G13</f>
        <v>14.999999999999998</v>
      </c>
      <c r="H74" s="2">
        <f t="shared" si="41"/>
        <v>-10</v>
      </c>
      <c r="I74" s="2">
        <f t="shared" si="42"/>
        <v>-2500</v>
      </c>
      <c r="J74" s="2">
        <f t="shared" si="43"/>
        <v>5</v>
      </c>
      <c r="K74" s="2">
        <f t="shared" si="51"/>
        <v>5</v>
      </c>
      <c r="L74" s="2">
        <f>H13</f>
        <v>5</v>
      </c>
      <c r="M74" s="2">
        <f t="shared" si="44"/>
        <v>0</v>
      </c>
      <c r="N74" s="2">
        <f t="shared" si="31"/>
        <v>0</v>
      </c>
      <c r="P74" s="2">
        <f t="shared" si="45"/>
        <v>0</v>
      </c>
      <c r="Q74" s="2">
        <f t="shared" si="32"/>
        <v>0</v>
      </c>
      <c r="R74" s="2">
        <f t="shared" si="33"/>
        <v>0</v>
      </c>
      <c r="S74" s="2">
        <f t="shared" si="34"/>
        <v>10</v>
      </c>
      <c r="T74" s="2">
        <f t="shared" si="46"/>
        <v>0.01</v>
      </c>
      <c r="U74" s="2">
        <f t="shared" si="35"/>
        <v>1000</v>
      </c>
      <c r="V74" s="2">
        <f t="shared" si="36"/>
        <v>250000</v>
      </c>
      <c r="Y74" s="2">
        <f t="shared" si="37"/>
        <v>-48.076923076923094</v>
      </c>
      <c r="Z74" s="2">
        <f t="shared" si="38"/>
        <v>480.76923076923094</v>
      </c>
      <c r="AA74" s="2">
        <f t="shared" si="39"/>
        <v>0</v>
      </c>
    </row>
    <row r="75" spans="1:27" x14ac:dyDescent="0.3">
      <c r="A75" s="7" t="s">
        <v>82</v>
      </c>
      <c r="B75" s="2" t="s">
        <v>101</v>
      </c>
      <c r="C75" s="2">
        <v>12</v>
      </c>
      <c r="D75" s="2">
        <f>IF(C75="None",0,D70-D69-E51)</f>
        <v>0</v>
      </c>
      <c r="E75" s="2">
        <f t="shared" si="40"/>
        <v>-5.0000000000000018</v>
      </c>
      <c r="F75" s="2">
        <f>G19</f>
        <v>-5.0000000000000018</v>
      </c>
      <c r="G75" s="2">
        <f>G16</f>
        <v>-5.0000000000000018</v>
      </c>
      <c r="H75" s="2">
        <f t="shared" si="41"/>
        <v>0</v>
      </c>
      <c r="I75" s="2">
        <f t="shared" si="42"/>
        <v>0</v>
      </c>
      <c r="J75" s="2">
        <f t="shared" si="43"/>
        <v>5</v>
      </c>
      <c r="K75" s="2">
        <f>H19</f>
        <v>5</v>
      </c>
      <c r="L75" s="2">
        <f>H16</f>
        <v>-5</v>
      </c>
      <c r="M75" s="2">
        <f>K75-L75</f>
        <v>10</v>
      </c>
      <c r="N75" s="2">
        <f t="shared" si="31"/>
        <v>0</v>
      </c>
      <c r="P75" s="2">
        <f t="shared" si="45"/>
        <v>0</v>
      </c>
      <c r="Q75" s="2">
        <f t="shared" si="32"/>
        <v>0</v>
      </c>
      <c r="R75" s="2">
        <f t="shared" si="33"/>
        <v>0</v>
      </c>
      <c r="S75" s="2">
        <f t="shared" si="34"/>
        <v>10</v>
      </c>
      <c r="T75" s="2">
        <f t="shared" si="46"/>
        <v>0.01</v>
      </c>
      <c r="U75" s="2">
        <f t="shared" si="35"/>
        <v>1000</v>
      </c>
      <c r="V75" s="2">
        <f t="shared" si="36"/>
        <v>0</v>
      </c>
      <c r="Y75" s="2">
        <f t="shared" si="37"/>
        <v>-355.76923076923072</v>
      </c>
      <c r="Z75" s="2">
        <f t="shared" si="38"/>
        <v>0</v>
      </c>
      <c r="AA75" s="2">
        <f t="shared" si="39"/>
        <v>-3557.6923076923072</v>
      </c>
    </row>
    <row r="76" spans="1:27" x14ac:dyDescent="0.3">
      <c r="I76" s="2">
        <f>ROUNDDOWN(SUM(I67:I75),1)</f>
        <v>0</v>
      </c>
      <c r="N76" s="2">
        <f>ROUNDDOWN(SUM(N67:N75),1)</f>
        <v>-10000</v>
      </c>
      <c r="P76" s="1" t="s">
        <v>15</v>
      </c>
      <c r="Q76" s="1" t="s">
        <v>41</v>
      </c>
      <c r="R76" s="1" t="s">
        <v>40</v>
      </c>
      <c r="V76" s="1" t="s">
        <v>52</v>
      </c>
      <c r="W76" s="1" t="s">
        <v>53</v>
      </c>
      <c r="X76" s="1" t="s">
        <v>54</v>
      </c>
      <c r="Z76" s="1" t="s">
        <v>62</v>
      </c>
      <c r="AA76" s="1" t="s">
        <v>64</v>
      </c>
    </row>
    <row r="77" spans="1:27" x14ac:dyDescent="0.3">
      <c r="I77" s="2" t="str">
        <f>IF(I76+Q3=0,"Balance",IF(I76-Q3=0,"Equivalence","Error"))</f>
        <v>Balance</v>
      </c>
      <c r="N77" s="2" t="str">
        <f>IF(N76+K3=0,"Balance",IF(N76-K3=0,"Equivalence","Error"))</f>
        <v>Balance</v>
      </c>
      <c r="O77" s="1" t="s">
        <v>80</v>
      </c>
      <c r="P77" s="12">
        <f>SUM(P67:P69)+SUM(P73:P75)</f>
        <v>200</v>
      </c>
      <c r="Q77" s="12">
        <f t="shared" ref="Q77:V77" si="52">SUM(Q67:Q69)+SUM(Q73:Q75)</f>
        <v>400</v>
      </c>
      <c r="R77" s="12">
        <f t="shared" si="52"/>
        <v>75000</v>
      </c>
      <c r="S77" s="17"/>
      <c r="T77" s="17"/>
      <c r="U77" s="17"/>
      <c r="V77" s="12">
        <f t="shared" si="52"/>
        <v>1500000</v>
      </c>
      <c r="W77" s="12">
        <f>SUM(U67:U69)+SUM(U73:U75)</f>
        <v>6000</v>
      </c>
      <c r="X77" s="12">
        <f>-U75</f>
        <v>-1000</v>
      </c>
      <c r="Z77" s="2">
        <f>ROUNDDOWN(SUM(Z67:Z75),1)</f>
        <v>0</v>
      </c>
      <c r="AA77" s="2">
        <f>ROUNDDOWN(SUM(AA67:AA75),1)</f>
        <v>-10000</v>
      </c>
    </row>
    <row r="78" spans="1:27" x14ac:dyDescent="0.3">
      <c r="O78" s="1" t="s">
        <v>81</v>
      </c>
      <c r="P78" s="12">
        <f>SUM(P70:P72)+P75</f>
        <v>100.00000000000001</v>
      </c>
      <c r="Q78" s="12">
        <f t="shared" ref="Q78:V78" si="53">SUM(Q70:Q72)+Q75</f>
        <v>200.00000000000003</v>
      </c>
      <c r="R78" s="12">
        <f t="shared" si="53"/>
        <v>175000.00000000003</v>
      </c>
      <c r="S78" s="17"/>
      <c r="T78" s="17"/>
      <c r="U78" s="17"/>
      <c r="V78" s="12">
        <f t="shared" si="53"/>
        <v>2500000</v>
      </c>
      <c r="W78" s="12">
        <f>-U75</f>
        <v>-1000</v>
      </c>
      <c r="X78" s="12">
        <f>SUM(U70:U72)+U75</f>
        <v>4000</v>
      </c>
      <c r="Z78" s="2" t="str">
        <f>IF(Z77+Q3=0,"Balance",IF(AA77-K3=0,"Equivalence","Error"))</f>
        <v>Balance</v>
      </c>
      <c r="AA78" s="2" t="str">
        <f>IF(AA77+K3=0,"Balance",IF(AA77-K3=0,"Equivalence","Error"))</f>
        <v>Balance</v>
      </c>
    </row>
    <row r="79" spans="1:27" x14ac:dyDescent="0.3">
      <c r="A79" s="4" t="s">
        <v>95</v>
      </c>
      <c r="C79" s="4"/>
      <c r="D79" s="4"/>
      <c r="L79" s="8"/>
      <c r="M79" s="8"/>
      <c r="N79" s="8"/>
      <c r="O79" s="8"/>
      <c r="P79" s="8"/>
      <c r="Q79" s="8"/>
      <c r="R79" s="8"/>
    </row>
    <row r="80" spans="1:27" x14ac:dyDescent="0.3">
      <c r="A80" s="1" t="s">
        <v>53</v>
      </c>
      <c r="B80" s="1" t="s">
        <v>54</v>
      </c>
      <c r="C80" s="1" t="s">
        <v>55</v>
      </c>
      <c r="K80" s="8"/>
      <c r="L80" s="8"/>
      <c r="M80" s="8"/>
      <c r="N80" s="8"/>
      <c r="O80" s="8"/>
      <c r="P80" s="8"/>
      <c r="Q80" s="8"/>
    </row>
    <row r="81" spans="1:17" x14ac:dyDescent="0.3">
      <c r="A81" s="2">
        <f>1/$Q$77*(W77)-1/$Q$78*(W78)</f>
        <v>20</v>
      </c>
      <c r="B81" s="2">
        <f>1/$Q$77*(X77)-1/$Q$78*(X78)</f>
        <v>-22.499999999999996</v>
      </c>
      <c r="C81" s="2">
        <f>1/$Q$78*(V78)-1/$Q$77*(V77)</f>
        <v>8749.9999999999982</v>
      </c>
      <c r="J81" s="8"/>
      <c r="K81" s="8"/>
      <c r="L81" s="8"/>
      <c r="M81" s="8"/>
      <c r="N81" s="8"/>
      <c r="O81" s="8"/>
      <c r="P81" s="8"/>
      <c r="Q81" s="8"/>
    </row>
    <row r="82" spans="1:17" x14ac:dyDescent="0.3">
      <c r="A82" s="9" t="s">
        <v>96</v>
      </c>
      <c r="B82" s="9"/>
      <c r="C82" s="9"/>
      <c r="J82" s="8"/>
      <c r="K82" s="8"/>
      <c r="L82" s="8"/>
      <c r="M82" s="8"/>
      <c r="N82" s="8"/>
      <c r="O82" s="8"/>
      <c r="P82" s="8"/>
      <c r="Q82" s="8"/>
    </row>
    <row r="83" spans="1:17" x14ac:dyDescent="0.3">
      <c r="A83" s="1" t="s">
        <v>53</v>
      </c>
      <c r="B83" s="1" t="s">
        <v>54</v>
      </c>
      <c r="C83" s="1" t="s">
        <v>55</v>
      </c>
      <c r="E83" s="1" t="s">
        <v>42</v>
      </c>
      <c r="F83" s="1" t="s">
        <v>124</v>
      </c>
      <c r="G83" s="1" t="s">
        <v>137</v>
      </c>
      <c r="H83" s="4" t="s">
        <v>73</v>
      </c>
      <c r="J83" s="8"/>
      <c r="K83" s="8"/>
      <c r="L83" s="8"/>
      <c r="M83" s="8"/>
      <c r="N83" s="8"/>
      <c r="O83" s="8"/>
      <c r="P83" s="8"/>
      <c r="Q83" s="8"/>
    </row>
    <row r="84" spans="1:17" x14ac:dyDescent="0.3">
      <c r="A84" s="2">
        <f>Q77</f>
        <v>400</v>
      </c>
      <c r="B84" s="2">
        <f>Q78</f>
        <v>200.00000000000003</v>
      </c>
      <c r="C84" s="2">
        <f>-(E84+F84+G84+H84)</f>
        <v>-250000.00000000003</v>
      </c>
      <c r="E84" s="2">
        <f>K3*(K4-A62)</f>
        <v>0</v>
      </c>
      <c r="F84" s="2">
        <f>-Q3*(Q4-B62)</f>
        <v>0</v>
      </c>
      <c r="G84" s="2">
        <f>E5+H5</f>
        <v>0</v>
      </c>
      <c r="H84" s="2">
        <f>SUM(R77:R78)</f>
        <v>250000.00000000003</v>
      </c>
      <c r="J84" s="8"/>
      <c r="K84" s="8"/>
      <c r="L84" s="8"/>
      <c r="M84" s="8"/>
      <c r="N84" s="8"/>
      <c r="O84" s="8"/>
      <c r="P84" s="8"/>
      <c r="Q84" s="8"/>
    </row>
    <row r="85" spans="1:17" x14ac:dyDescent="0.3">
      <c r="A85" s="4" t="s">
        <v>68</v>
      </c>
      <c r="B85" s="4"/>
      <c r="C85" s="4"/>
      <c r="D85" s="1"/>
      <c r="J85" s="8"/>
      <c r="K85" s="8"/>
      <c r="L85" s="8"/>
      <c r="M85" s="8"/>
      <c r="N85" s="8"/>
      <c r="O85" s="8"/>
      <c r="P85" s="8"/>
      <c r="Q85" s="8"/>
    </row>
    <row r="86" spans="1:17" x14ac:dyDescent="0.3">
      <c r="A86" s="1" t="s">
        <v>56</v>
      </c>
    </row>
    <row r="87" spans="1:17" x14ac:dyDescent="0.3">
      <c r="A87" s="1" t="s">
        <v>36</v>
      </c>
      <c r="D87" s="1" t="s">
        <v>57</v>
      </c>
      <c r="G87" s="1" t="s">
        <v>58</v>
      </c>
      <c r="I87" s="1" t="s">
        <v>59</v>
      </c>
    </row>
    <row r="88" spans="1:17" x14ac:dyDescent="0.3">
      <c r="A88" s="2">
        <f>A81</f>
        <v>20</v>
      </c>
      <c r="B88" s="2">
        <f>B81</f>
        <v>-22.499999999999996</v>
      </c>
      <c r="D88" s="2">
        <f t="array" ref="D88:E89">MINVERSE(A88:B89)</f>
        <v>1.5384615384615387E-2</v>
      </c>
      <c r="E88" s="7">
        <v>1.7307692307692308E-3</v>
      </c>
      <c r="G88" s="2">
        <f>C81</f>
        <v>8749.9999999999982</v>
      </c>
      <c r="I88" s="2">
        <f t="array" ref="I88:I89">MMULT(D88:E89,G88:G89)</f>
        <v>-298.07692307692309</v>
      </c>
    </row>
    <row r="89" spans="1:17" x14ac:dyDescent="0.3">
      <c r="A89" s="2">
        <f>A84</f>
        <v>400</v>
      </c>
      <c r="B89" s="2">
        <f>B84</f>
        <v>200.00000000000003</v>
      </c>
      <c r="D89" s="2">
        <v>-3.0769230769230771E-2</v>
      </c>
      <c r="E89" s="2">
        <v>1.5384615384615385E-3</v>
      </c>
      <c r="G89" s="2">
        <f>C84</f>
        <v>-250000.00000000003</v>
      </c>
      <c r="I89" s="2">
        <v>-653.84615384615381</v>
      </c>
    </row>
    <row r="90" spans="1:17" x14ac:dyDescent="0.3">
      <c r="K90" s="1"/>
      <c r="L90" s="1"/>
      <c r="M90" s="1"/>
    </row>
  </sheetData>
  <mergeCells count="3">
    <mergeCell ref="A1:V1"/>
    <mergeCell ref="G6:L6"/>
    <mergeCell ref="E6:F6"/>
  </mergeCells>
  <phoneticPr fontId="1" type="noConversion"/>
  <conditionalFormatting sqref="I76">
    <cfRule type="cellIs" dxfId="10" priority="28" operator="equal">
      <formula>-$Q$3</formula>
    </cfRule>
  </conditionalFormatting>
  <conditionalFormatting sqref="N76">
    <cfRule type="cellIs" dxfId="9" priority="22" operator="equal">
      <formula>-$K$3</formula>
    </cfRule>
  </conditionalFormatting>
  <conditionalFormatting sqref="AA77">
    <cfRule type="cellIs" dxfId="8" priority="21" operator="equal">
      <formula>-$K$3</formula>
    </cfRule>
  </conditionalFormatting>
  <conditionalFormatting sqref="Z77">
    <cfRule type="cellIs" dxfId="7" priority="20" operator="equal">
      <formula>-$Q$3</formula>
    </cfRule>
  </conditionalFormatting>
  <conditionalFormatting sqref="D67:D75">
    <cfRule type="cellIs" dxfId="6" priority="1" operator="equal">
      <formula>IF($B67="Cut",0,na)</formula>
    </cfRule>
  </conditionalFormatting>
  <conditionalFormatting sqref="D8">
    <cfRule type="containsText" dxfId="5" priority="4" operator="containsText" text="Yes">
      <formula>NOT(ISERROR(SEARCH("Yes",D8)))</formula>
    </cfRule>
    <cfRule type="containsText" dxfId="4" priority="5" operator="containsText" text="No">
      <formula>NOT(ISERROR(SEARCH("No",D8)))</formula>
    </cfRule>
  </conditionalFormatting>
  <conditionalFormatting sqref="Y67:AA75 A67:N75 P67:V75">
    <cfRule type="expression" dxfId="3" priority="2">
      <formula>$C67=12</formula>
    </cfRule>
    <cfRule type="expression" dxfId="2" priority="3">
      <formula>$C67=2</formula>
    </cfRule>
    <cfRule type="expression" dxfId="1" priority="6">
      <formula>$C67=1</formula>
    </cfRule>
  </conditionalFormatting>
  <conditionalFormatting sqref="M22 M38:M39">
    <cfRule type="cellIs" dxfId="0" priority="29" operator="equal">
      <formula>$T$3</formula>
    </cfRule>
  </conditionalFormatting>
  <dataValidations count="4">
    <dataValidation type="list" allowBlank="1" showInputMessage="1" showErrorMessage="1" sqref="D8" xr:uid="{C56382AE-CCD0-4F06-BA9D-6F5567C75C5C}">
      <formula1>"Yes,No"</formula1>
    </dataValidation>
    <dataValidation type="list" allowBlank="1" showInputMessage="1" showErrorMessage="1" sqref="P13:P20" xr:uid="{5783B9DA-1C07-45AD-A1E9-89C387C8C50A}">
      <formula1>"C,T,CT"</formula1>
    </dataValidation>
    <dataValidation type="list" allowBlank="1" showInputMessage="1" showErrorMessage="1" sqref="C67:C75" xr:uid="{6A4F3C8C-3740-42F0-989D-EED2EF103060}">
      <formula1>"1,2,12,None"</formula1>
    </dataValidation>
    <dataValidation type="list" allowBlank="1" showInputMessage="1" showErrorMessage="1" sqref="B67:B75" xr:uid="{E29F8C31-A671-4292-B69B-E60E39E16336}">
      <formula1>"Cut"</formula1>
    </dataValidation>
  </dataValidations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Symmetrical_TwoCell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Roaa Tareq</dc:creator>
  <cp:lastModifiedBy>Roaa Tareq</cp:lastModifiedBy>
  <dcterms:created xsi:type="dcterms:W3CDTF">2015-06-05T18:17:20Z</dcterms:created>
  <dcterms:modified xsi:type="dcterms:W3CDTF">2023-01-16T12:27:37Z</dcterms:modified>
</cp:coreProperties>
</file>